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'06'!$A$1:$S$122</definedName>
    <definedName name="_xlnm.Print_Area" localSheetId="13">'07'!$A$1:$T$127</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3.xml><?xml version="1.0" encoding="utf-8"?>
<comments xmlns="http://schemas.openxmlformats.org/spreadsheetml/2006/main">
  <authors>
    <author>IT DAK LAK</author>
  </authors>
  <commentList>
    <comment ref="H108" authorId="0">
      <text>
        <r>
          <rPr>
            <b/>
            <sz val="8"/>
            <rFont val="Tahoma"/>
            <family val="2"/>
          </rPr>
          <t>IT DAK LAK:</t>
        </r>
        <r>
          <rPr>
            <sz val="8"/>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<sst xmlns="http://schemas.openxmlformats.org/spreadsheetml/2006/main" count="1271" uniqueCount="599">
  <si>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</si>
  <si>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</si>
  <si>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</si>
  <si>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</si>
  <si>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</si>
  <si>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</si>
  <si>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</si>
  <si>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</si>
  <si>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</si>
  <si>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</si>
  <si>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</si>
  <si>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</si>
  <si>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</si>
  <si>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</si>
  <si>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</si>
  <si>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</si>
  <si>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</si>
  <si>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</si>
  <si>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</si>
  <si>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</si>
  <si>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</si>
  <si>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</si>
  <si>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</si>
  <si>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</si>
  <si>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</si>
  <si>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</si>
  <si>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</si>
  <si>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</si>
  <si>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</si>
  <si>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</si>
  <si>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</si>
  <si>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</si>
  <si>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</si>
  <si>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</si>
  <si>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</si>
  <si>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</si>
  <si>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</si>
  <si>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</si>
  <si>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</si>
  <si>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</si>
  <si>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</si>
  <si>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</si>
  <si>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</si>
  <si>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</si>
  <si>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</si>
  <si>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</si>
  <si>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</si>
  <si>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</si>
  <si>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</si>
  <si>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</si>
  <si>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</si>
  <si>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</si>
  <si>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</si>
  <si>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</si>
  <si>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</si>
  <si>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</si>
  <si>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</si>
  <si>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</si>
  <si>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</si>
  <si>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</si>
  <si>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</si>
  <si>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</si>
  <si>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</si>
  <si>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</si>
  <si>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</si>
  <si>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</si>
  <si>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</si>
  <si>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</si>
  <si>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</si>
  <si>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</si>
  <si>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</si>
  <si>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</si>
  <si>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</si>
  <si>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</si>
  <si>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</si>
  <si>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</si>
  <si>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</si>
  <si>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</si>
  <si>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</si>
  <si>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</si>
  <si>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</si>
  <si>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</si>
  <si>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</si>
  <si>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</si>
  <si>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</si>
  <si>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</si>
  <si>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</si>
  <si>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</si>
  <si>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</si>
  <si>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</si>
  <si>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</si>
  <si>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</si>
  <si>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</si>
  <si>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</si>
  <si>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</si>
  <si>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</si>
  <si>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</si>
  <si>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</si>
  <si>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</si>
  <si>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</si>
  <si>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</si>
  <si>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</si>
  <si>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</si>
  <si>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</si>
  <si>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</si>
  <si>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</si>
  <si>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</si>
  <si>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</si>
  <si>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</si>
  <si>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</si>
  <si>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</si>
  <si>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</si>
  <si>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</si>
  <si>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</si>
  <si>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</si>
  <si>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</si>
  <si>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</si>
  <si>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</si>
  <si>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</si>
  <si>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</si>
  <si>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</si>
  <si>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</si>
  <si>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</si>
  <si>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</si>
  <si>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</si>
  <si>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</si>
  <si>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</si>
  <si>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</si>
  <si>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</si>
  <si>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</si>
  <si>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</si>
  <si>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</si>
  <si>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</si>
  <si>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</si>
  <si>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</si>
  <si>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</si>
  <si>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</si>
  <si>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</si>
  <si>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</si>
  <si>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</si>
  <si>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</si>
  <si>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</si>
  <si>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</si>
  <si>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</si>
  <si>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</si>
  <si>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</si>
  <si>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</si>
  <si>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</si>
  <si>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</si>
  <si>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</si>
  <si>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</si>
  <si>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</si>
  <si>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</si>
  <si>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</si>
  <si>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</si>
  <si>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</si>
  <si>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</si>
  <si>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</si>
  <si>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</si>
  <si>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</si>
  <si>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</si>
  <si>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</si>
  <si>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</si>
  <si>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</si>
  <si>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</si>
  <si>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</si>
  <si>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</si>
  <si>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</si>
  <si>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</si>
  <si>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</si>
  <si>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</si>
  <si>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</si>
  <si>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</si>
  <si>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</si>
  <si>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</si>
  <si>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</si>
  <si>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</si>
  <si>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</si>
  <si>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</si>
  <si>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</si>
  <si>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</si>
  <si>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</si>
  <si>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</si>
  <si>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</si>
  <si>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</si>
  <si>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</si>
  <si>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</si>
  <si>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</si>
  <si>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</si>
  <si>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</si>
  <si>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</si>
  <si>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</si>
  <si>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</si>
  <si>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</si>
  <si>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</si>
  <si>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</si>
  <si>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</si>
  <si>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</si>
  <si>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</si>
  <si>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</si>
  <si>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</si>
  <si>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</si>
  <si>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</si>
  <si>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</si>
  <si>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</si>
  <si>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</si>
  <si>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</si>
  <si>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</si>
  <si>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</si>
  <si>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</si>
  <si>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</si>
  <si>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</si>
  <si>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</si>
  <si>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</si>
  <si>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</si>
  <si>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</si>
  <si>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</si>
  <si>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</si>
  <si>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</si>
  <si>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</si>
  <si>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</si>
  <si>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</si>
  <si>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</si>
  <si>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</si>
  <si>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</si>
  <si>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</si>
  <si>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</si>
  <si>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</si>
  <si>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</si>
  <si>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</si>
  <si>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</si>
  <si>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</si>
  <si>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</si>
  <si>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</si>
  <si>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</si>
  <si>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</si>
  <si>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</si>
  <si>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</si>
  <si>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</si>
  <si>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</si>
  <si>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</si>
  <si>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</si>
  <si>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</si>
  <si>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</si>
  <si>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</si>
  <si>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</si>
  <si>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</si>
  <si>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</si>
  <si>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</si>
  <si>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</si>
  <si>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</si>
  <si>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</si>
  <si>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</si>
  <si>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</si>
  <si>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</si>
  <si>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</si>
  <si>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</si>
  <si>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</si>
  <si>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</si>
  <si>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</si>
  <si>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</si>
  <si>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</si>
  <si>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</si>
  <si>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</si>
  <si>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</si>
  <si>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</si>
  <si>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</si>
  <si>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</si>
  <si>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</si>
  <si>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</si>
  <si>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</si>
  <si>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</si>
  <si>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</si>
  <si>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</si>
  <si>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</si>
  <si>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</si>
  <si>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</si>
  <si>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</si>
  <si>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</si>
  <si>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</si>
  <si>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</si>
  <si>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</si>
  <si>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</si>
  <si>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</si>
  <si>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</si>
  <si>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</si>
  <si>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</si>
  <si>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</si>
  <si>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</si>
  <si>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</si>
  <si>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</si>
  <si>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</si>
  <si>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</si>
  <si>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</si>
  <si>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</si>
  <si>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</si>
  <si>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</si>
  <si>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</si>
  <si>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</si>
  <si>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</si>
  <si>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</si>
  <si>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</si>
  <si>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</si>
  <si>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</si>
  <si>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</si>
  <si>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</si>
  <si>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</si>
  <si>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</si>
  <si>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</si>
  <si>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</si>
  <si>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</si>
  <si>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</si>
  <si>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</si>
  <si>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</si>
  <si>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</si>
  <si>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</si>
  <si>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</si>
  <si>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</si>
  <si>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</si>
  <si>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</si>
  <si>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</si>
  <si>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</si>
  <si>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</si>
  <si>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</si>
  <si>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</si>
  <si>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</si>
  <si>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</si>
  <si>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</si>
  <si>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</si>
  <si>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</si>
  <si>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</si>
  <si>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</si>
  <si>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</si>
  <si>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</si>
  <si>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</si>
  <si>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</si>
  <si>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</si>
  <si>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</si>
  <si>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</si>
  <si>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</si>
  <si>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</si>
  <si>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</si>
  <si>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</si>
  <si>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</si>
  <si>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</si>
  <si>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</si>
  <si>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</si>
  <si>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</si>
  <si>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</si>
  <si>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</si>
  <si>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</si>
  <si>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</si>
  <si>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</si>
  <si>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</si>
  <si>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</si>
  <si>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</si>
  <si>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</si>
  <si>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</si>
  <si>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</si>
  <si>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</si>
  <si>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</si>
  <si>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</si>
  <si>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</si>
  <si>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</si>
  <si>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</si>
  <si>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</si>
  <si>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</si>
  <si>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</si>
  <si>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</si>
  <si>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</si>
  <si>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</si>
  <si>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</si>
  <si>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</si>
  <si>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</si>
  <si>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</si>
  <si>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</si>
  <si>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</si>
  <si>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</si>
  <si>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</si>
  <si>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</si>
  <si>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</si>
  <si>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</si>
  <si>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</si>
  <si>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</si>
  <si>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</si>
  <si>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</si>
  <si>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</si>
  <si>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</si>
  <si>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</si>
  <si>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</si>
  <si>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</si>
  <si>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</si>
  <si>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</si>
  <si>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</si>
  <si>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</si>
  <si>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</si>
  <si>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</si>
  <si>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</si>
  <si>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</si>
  <si>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</si>
  <si>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</si>
  <si>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</si>
  <si>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</si>
  <si>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</si>
  <si>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</si>
  <si>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</si>
  <si>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</si>
  <si>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</si>
  <si>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</si>
  <si>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</si>
  <si>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</si>
  <si>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</si>
  <si>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</si>
  <si>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</si>
  <si>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</si>
  <si>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</si>
  <si>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</si>
  <si>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</si>
  <si>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</si>
  <si>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</si>
  <si>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</si>
  <si>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</si>
  <si>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</si>
  <si>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</si>
  <si>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</si>
  <si>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</si>
  <si>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</si>
  <si>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</si>
  <si>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</si>
  <si>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</si>
  <si>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</si>
  <si>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</si>
  <si>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xml:space="preserve"> </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</si>
  <si>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</si>
  <si>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</si>
  <si>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0</t>
  </si>
  <si>
    <t>Trần Hồng Quang</t>
  </si>
  <si>
    <t>Phạm Tiến Binh</t>
  </si>
  <si>
    <t xml:space="preserve"> Bùi Văn Dũng</t>
  </si>
  <si>
    <t xml:space="preserve"> Quản Văn Đức </t>
  </si>
  <si>
    <t xml:space="preserve"> Lê Thị Liên</t>
  </si>
  <si>
    <t xml:space="preserve"> Phùng Trọng Nghĩa</t>
  </si>
  <si>
    <t xml:space="preserve"> Bùi Đức Tiến</t>
  </si>
  <si>
    <t>1.10</t>
  </si>
  <si>
    <t xml:space="preserve"> Bùi Quang Minh</t>
  </si>
  <si>
    <t>1.11</t>
  </si>
  <si>
    <t>Ngô Văn Hòa</t>
  </si>
  <si>
    <t>1.12</t>
  </si>
  <si>
    <t>1.13</t>
  </si>
  <si>
    <t xml:space="preserve"> Nguyễn Trí Thành</t>
  </si>
  <si>
    <t>1.14</t>
  </si>
  <si>
    <t>Đinh Đức Quang</t>
  </si>
  <si>
    <t>1.15</t>
  </si>
  <si>
    <t xml:space="preserve"> Nguyễn Thị Mai Anh</t>
  </si>
  <si>
    <t>1.16</t>
  </si>
  <si>
    <t>Phan Thị Nhuyến</t>
  </si>
  <si>
    <t>1.17</t>
  </si>
  <si>
    <t>Lê Thị Minh Thúy</t>
  </si>
  <si>
    <t>Các Chi  cục THADS</t>
  </si>
  <si>
    <t xml:space="preserve"> H.An Dương</t>
  </si>
  <si>
    <t xml:space="preserve"> Nguyễn Phi Hùng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</si>
  <si>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</si>
  <si>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</si>
  <si>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</si>
  <si>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</si>
  <si>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</si>
  <si>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</si>
  <si>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</si>
  <si>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</si>
  <si>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</si>
  <si>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</si>
  <si>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</si>
  <si>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Nguyễn Đồng Lai</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</si>
  <si>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</si>
  <si>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</si>
  <si>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</si>
  <si>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</si>
  <si>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</si>
  <si>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</si>
  <si>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</si>
  <si>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</si>
  <si>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</si>
  <si>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</si>
  <si>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</si>
  <si>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</si>
  <si>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</si>
  <si>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5.8</t>
  </si>
  <si>
    <t>Nguyễn Thị Phích</t>
  </si>
  <si>
    <t xml:space="preserve"> Q.Hải An</t>
  </si>
  <si>
    <t xml:space="preserve"> Nguyễn Văn Lai</t>
  </si>
  <si>
    <t>Ng.Thị Ph.Thảo</t>
  </si>
  <si>
    <t>Trịnh Quang Khánh</t>
  </si>
  <si>
    <t xml:space="preserve"> Hoàng Thị Vân Anh</t>
  </si>
  <si>
    <t>Nguyễn Tùng Ngọc</t>
  </si>
  <si>
    <t>Phạm Đăng Ngọc</t>
  </si>
  <si>
    <t>Nguyễn Trần Tuấn</t>
  </si>
  <si>
    <t>Nguyễn Công Tưởng</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</si>
  <si>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</si>
  <si>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</si>
  <si>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</si>
  <si>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</si>
  <si>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</si>
  <si>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</si>
  <si>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</si>
  <si>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</si>
  <si>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</si>
  <si>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</si>
  <si>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</si>
  <si>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</si>
  <si>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</si>
  <si>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</si>
  <si>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</si>
  <si>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</si>
  <si>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 xml:space="preserve"> Hoàng Tiến Dũng</t>
  </si>
  <si>
    <t xml:space="preserve"> Phạm Văn Phúc</t>
  </si>
  <si>
    <t>Nguyễn Trường Giang</t>
  </si>
  <si>
    <t xml:space="preserve"> Nguyễn Thanh Hải</t>
  </si>
  <si>
    <t>Phạm Văn Tú</t>
  </si>
  <si>
    <t>10.7</t>
  </si>
  <si>
    <t>Mai Thị Hoa</t>
  </si>
  <si>
    <t>10.8</t>
  </si>
  <si>
    <t>Nguyễn Thị Diệp Anh</t>
  </si>
  <si>
    <t>10.9</t>
  </si>
  <si>
    <t xml:space="preserve"> Lê Văn Thụy</t>
  </si>
  <si>
    <t>10.10</t>
  </si>
  <si>
    <t>Đoàn Thị Minh Châu</t>
  </si>
  <si>
    <t xml:space="preserve"> H.Cát Hải</t>
  </si>
  <si>
    <t>11.1</t>
  </si>
  <si>
    <t>Nguyễn Tiến Dược</t>
  </si>
  <si>
    <t>11.2</t>
  </si>
  <si>
    <t xml:space="preserve"> Hồ Anh Văn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</si>
  <si>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</si>
  <si>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</si>
  <si>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</si>
  <si>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</si>
  <si>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</si>
  <si>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</si>
  <si>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</si>
  <si>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</si>
  <si>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</si>
  <si>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</si>
  <si>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</si>
  <si>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</si>
  <si>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</si>
  <si>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</si>
  <si>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</si>
  <si>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</si>
  <si>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</si>
  <si>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</si>
  <si>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</si>
  <si>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</si>
  <si>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r>
      <t xml:space="preserve">Đơn vị nhận báo cáo: </t>
    </r>
    <r>
      <rPr>
        <sz val="12"/>
        <rFont val="Times New Roman"/>
        <family val="1"/>
      </rPr>
      <t>Tổng cục</t>
    </r>
  </si>
  <si>
    <t>Trần Thị Minh</t>
  </si>
  <si>
    <r>
      <t xml:space="preserve">CTHADS </t>
    </r>
    <r>
      <rPr>
        <sz val="12"/>
        <color indexed="10"/>
        <rFont val="Times New Roman"/>
        <family val="1"/>
      </rPr>
      <t>Hải Phòng</t>
    </r>
  </si>
  <si>
    <t xml:space="preserve">
PHÓ CỤC TRƯỞNG</t>
  </si>
  <si>
    <t>Bùi Đức Tiến</t>
  </si>
  <si>
    <t>Đỗ Khắc Oanh</t>
  </si>
  <si>
    <t>1.18</t>
  </si>
  <si>
    <t>1.19</t>
  </si>
  <si>
    <t>Đỗ Thị Thanh Thủy</t>
  </si>
  <si>
    <t xml:space="preserve">            </t>
  </si>
  <si>
    <t>Nguyễn Trí Thành</t>
  </si>
  <si>
    <t>Bùi Mạnh Hùng</t>
  </si>
  <si>
    <t>Hoàng Vân Anh</t>
  </si>
  <si>
    <t>8.3</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</si>
  <si>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</si>
  <si>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</si>
  <si>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</si>
  <si>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</si>
  <si>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</si>
  <si>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</si>
  <si>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</si>
  <si>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13.10</t>
  </si>
  <si>
    <t xml:space="preserve"> Hoàng Trọng Hiếu</t>
  </si>
  <si>
    <t>13.11</t>
  </si>
  <si>
    <t>Tô Anh Dũng</t>
  </si>
  <si>
    <t>Lương Thanh Thủy</t>
  </si>
  <si>
    <t>Nguyễn Thị Thủy</t>
  </si>
  <si>
    <t>Phạm Văn Phúc</t>
  </si>
  <si>
    <t>15.2</t>
  </si>
  <si>
    <t>15.1</t>
  </si>
  <si>
    <t>15.3</t>
  </si>
  <si>
    <t>15.4</t>
  </si>
  <si>
    <t>15.5</t>
  </si>
  <si>
    <t>15.6</t>
  </si>
  <si>
    <t>Hải Phòng, ngày 05 tháng 8 năm 2016</t>
  </si>
  <si>
    <t>PHÓ CỤC TRƯỞNG</t>
  </si>
  <si>
    <t xml:space="preserve">Nguyễn Thị Mai Hoa </t>
  </si>
  <si>
    <r>
      <t xml:space="preserve">Hải Phòng, ngày </t>
    </r>
    <r>
      <rPr>
        <sz val="12"/>
        <color indexed="10"/>
        <rFont val="Times New Roman"/>
        <family val="1"/>
      </rPr>
      <t xml:space="preserve">05 </t>
    </r>
    <r>
      <rPr>
        <sz val="12"/>
        <rFont val="Times New Roman"/>
        <family val="1"/>
      </rPr>
      <t>tháng 9 năm 2016</t>
    </r>
  </si>
  <si>
    <r>
      <rPr>
        <sz val="12"/>
        <color indexed="10"/>
        <rFont val="Times New Roman"/>
        <family val="1"/>
      </rPr>
      <t>11</t>
    </r>
    <r>
      <rPr>
        <sz val="12"/>
        <rFont val="Times New Roman"/>
        <family val="1"/>
      </rPr>
      <t xml:space="preserve"> tháng / năm 2016</t>
    </r>
  </si>
  <si>
    <t>54</t>
  </si>
  <si>
    <t>150</t>
  </si>
  <si>
    <t>120</t>
  </si>
  <si>
    <t>23</t>
  </si>
  <si>
    <t>76</t>
  </si>
  <si>
    <t>185</t>
  </si>
  <si>
    <t>141</t>
  </si>
  <si>
    <t>30</t>
  </si>
  <si>
    <t>Hoàng Tiến Dũng</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</si>
</sst>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s>
  <fonts count="165">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8"/>
      <name val="Calibri"/>
      <family val="2"/>
    </font>
    <font>
      <sz val="7"/>
      <name val="Times New Roman"/>
      <family val="1"/>
    </font>
    <font>
      <sz val="8"/>
      <color indexed="8"/>
      <name val=".VnTime"/>
      <family val="2"/>
    </font>
    <font>
      <sz val="8"/>
      <color indexed="8"/>
      <name val="Times New Roman"/>
      <family val="1"/>
    </font>
    <font>
      <b/>
      <sz val="8"/>
      <name val="Tahoma"/>
      <family val="2"/>
    </font>
    <font>
      <sz val="8"/>
      <name val="Tahoma"/>
      <family val="2"/>
    </font>
    <font>
      <b/>
      <sz val="8"/>
      <color indexed="8"/>
      <name val=".VnTime"/>
      <family val="2"/>
    </font>
    <font>
      <sz val="9"/>
      <color indexed="10"/>
      <name val="Times New Roman"/>
      <family val="1"/>
    </font>
    <font>
      <sz val="9"/>
      <color indexed="16"/>
      <name val="Times New Roman"/>
      <family val="1"/>
    </font>
    <font>
      <sz val="6"/>
      <color indexed="10"/>
      <name val="Times New Roman"/>
      <family val="1"/>
    </font>
    <font>
      <sz val="6"/>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8"/>
      <color indexed="10"/>
      <name val="Times New Roman"/>
      <family val="1"/>
    </font>
    <font>
      <b/>
      <sz val="14"/>
      <color indexed="10"/>
      <name val="Times New Roman"/>
      <family val="1"/>
    </font>
    <font>
      <sz val="13"/>
      <color indexed="10"/>
      <name val="Times New Roman"/>
      <family val="1"/>
    </font>
    <font>
      <i/>
      <sz val="11"/>
      <color indexed="10"/>
      <name val="Times New Roman"/>
      <family val="1"/>
    </font>
    <font>
      <sz val="7"/>
      <color indexed="10"/>
      <name val="Times New Roman"/>
      <family val="1"/>
    </font>
    <font>
      <sz val="7"/>
      <color indexed="10"/>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i/>
      <sz val="8"/>
      <color rgb="FFFF0000"/>
      <name val="Times New Roman"/>
      <family val="1"/>
    </font>
    <font>
      <b/>
      <sz val="14"/>
      <color rgb="FFFF0000"/>
      <name val="Times New Roman"/>
      <family val="1"/>
    </font>
    <font>
      <sz val="13"/>
      <color rgb="FFFF0000"/>
      <name val="Times New Roman"/>
      <family val="1"/>
    </font>
    <font>
      <sz val="11"/>
      <color rgb="FFFF0000"/>
      <name val="Times New Roman"/>
      <family val="1"/>
    </font>
    <font>
      <i/>
      <sz val="11"/>
      <color rgb="FFFF0000"/>
      <name val="Times New Roman"/>
      <family val="1"/>
    </font>
    <font>
      <sz val="10"/>
      <color rgb="FFFF0000"/>
      <name val="Times New Roman"/>
      <family val="1"/>
    </font>
    <font>
      <sz val="14"/>
      <color rgb="FFFF0000"/>
      <name val="Times New Roman"/>
      <family val="1"/>
    </font>
    <font>
      <sz val="7"/>
      <color rgb="FFFF0000"/>
      <name val="Times New Roman"/>
      <family val="1"/>
    </font>
    <font>
      <sz val="7"/>
      <color rgb="FFFF0000"/>
      <name val=".VnTime"/>
      <family val="2"/>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
      <left style="double"/>
      <right style="thin"/>
      <top style="thin"/>
      <bottom style="thin"/>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3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3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3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3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3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3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3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3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3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3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3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3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40" fillId="37" borderId="1"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1" fillId="39" borderId="3" applyNumberFormat="0" applyAlignment="0" applyProtection="0"/>
    <xf numFmtId="0" fontId="40" fillId="40" borderId="4" applyNumberFormat="0" applyAlignment="0" applyProtection="0"/>
    <xf numFmtId="0" fontId="40" fillId="40" borderId="4" applyNumberFormat="0" applyAlignment="0" applyProtection="0"/>
    <xf numFmtId="0" fontId="1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4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4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4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47" fillId="42" borderId="1" applyNumberFormat="0" applyAlignment="0" applyProtection="0"/>
    <xf numFmtId="0" fontId="46" fillId="9" borderId="2" applyNumberFormat="0" applyAlignment="0" applyProtection="0"/>
    <xf numFmtId="0" fontId="46" fillId="9" borderId="2" applyNumberFormat="0" applyAlignment="0" applyProtection="0"/>
    <xf numFmtId="0" fontId="14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4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03"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5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1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90">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0" applyNumberFormat="1" applyFont="1" applyFill="1" applyBorder="1" applyAlignment="1" applyProtection="1">
      <alignment horizontal="center" vertical="center"/>
      <protection/>
    </xf>
    <xf numFmtId="49" fontId="0" fillId="47" borderId="0" xfId="141" applyNumberFormat="1" applyFont="1" applyFill="1" applyBorder="1" applyAlignment="1">
      <alignment horizontal="left"/>
      <protection/>
    </xf>
    <xf numFmtId="49" fontId="0" fillId="0" borderId="0" xfId="141" applyNumberFormat="1" applyFont="1">
      <alignment/>
      <protection/>
    </xf>
    <xf numFmtId="49" fontId="0" fillId="0" borderId="0" xfId="141" applyNumberFormat="1">
      <alignment/>
      <protection/>
    </xf>
    <xf numFmtId="49" fontId="0" fillId="0" borderId="0" xfId="141" applyNumberFormat="1" applyFont="1" applyAlignment="1">
      <alignment horizontal="left"/>
      <protection/>
    </xf>
    <xf numFmtId="49" fontId="0" fillId="0" borderId="0" xfId="141" applyNumberFormat="1" applyFont="1" applyBorder="1" applyAlignment="1">
      <alignment wrapText="1"/>
      <protection/>
    </xf>
    <xf numFmtId="49" fontId="15" fillId="0" borderId="0" xfId="141" applyNumberFormat="1" applyFont="1" applyAlignment="1">
      <alignment/>
      <protection/>
    </xf>
    <xf numFmtId="49" fontId="0" fillId="0" borderId="0" xfId="141" applyNumberFormat="1" applyFont="1" applyBorder="1" applyAlignment="1">
      <alignment horizontal="left" wrapText="1"/>
      <protection/>
    </xf>
    <xf numFmtId="49" fontId="18" fillId="0" borderId="0" xfId="141" applyNumberFormat="1" applyFont="1" applyAlignment="1">
      <alignment horizontal="left"/>
      <protection/>
    </xf>
    <xf numFmtId="49" fontId="0" fillId="0" borderId="0" xfId="141" applyNumberFormat="1" applyFont="1" applyFill="1" applyAlignment="1">
      <alignment/>
      <protection/>
    </xf>
    <xf numFmtId="49" fontId="0" fillId="0" borderId="0" xfId="141" applyNumberFormat="1" applyFont="1" applyFill="1" applyAlignment="1">
      <alignment horizontal="center"/>
      <protection/>
    </xf>
    <xf numFmtId="49" fontId="0" fillId="0" borderId="0" xfId="141" applyNumberFormat="1" applyFont="1" applyAlignment="1">
      <alignment horizontal="center"/>
      <protection/>
    </xf>
    <xf numFmtId="49" fontId="0" fillId="0" borderId="0" xfId="141" applyNumberFormat="1" applyFont="1" applyFill="1">
      <alignment/>
      <protection/>
    </xf>
    <xf numFmtId="49" fontId="13" fillId="47" borderId="22" xfId="141" applyNumberFormat="1" applyFont="1" applyFill="1" applyBorder="1" applyAlignment="1">
      <alignment/>
      <protection/>
    </xf>
    <xf numFmtId="49" fontId="7" fillId="0" borderId="20" xfId="141" applyNumberFormat="1" applyFont="1" applyFill="1" applyBorder="1" applyAlignment="1">
      <alignment horizontal="center" vertical="center" wrapText="1"/>
      <protection/>
    </xf>
    <xf numFmtId="49" fontId="53" fillId="48" borderId="20" xfId="141" applyNumberFormat="1" applyFont="1" applyFill="1" applyBorder="1" applyAlignment="1">
      <alignment horizontal="center"/>
      <protection/>
    </xf>
    <xf numFmtId="49" fontId="7" fillId="0" borderId="21" xfId="141" applyNumberFormat="1" applyFont="1" applyFill="1" applyBorder="1" applyAlignment="1">
      <alignment horizontal="center" vertical="center" wrapText="1"/>
      <protection/>
    </xf>
    <xf numFmtId="49" fontId="7" fillId="0" borderId="20" xfId="141" applyNumberFormat="1" applyFont="1" applyBorder="1" applyAlignment="1">
      <alignment horizontal="center" vertical="center" wrapText="1"/>
      <protection/>
    </xf>
    <xf numFmtId="49" fontId="54" fillId="0" borderId="20" xfId="141" applyNumberFormat="1" applyFont="1" applyFill="1" applyBorder="1" applyAlignment="1">
      <alignment horizontal="center" vertical="center" wrapText="1"/>
      <protection/>
    </xf>
    <xf numFmtId="49" fontId="18" fillId="0" borderId="20" xfId="141" applyNumberFormat="1" applyFont="1" applyBorder="1" applyAlignment="1">
      <alignment horizontal="center" vertical="center"/>
      <protection/>
    </xf>
    <xf numFmtId="3" fontId="0" fillId="0" borderId="20" xfId="141" applyNumberFormat="1" applyFont="1" applyBorder="1" applyAlignment="1">
      <alignment horizontal="center" vertical="center"/>
      <protection/>
    </xf>
    <xf numFmtId="3" fontId="0" fillId="0" borderId="20" xfId="141" applyNumberFormat="1" applyFont="1" applyBorder="1" applyAlignment="1">
      <alignment vertical="center"/>
      <protection/>
    </xf>
    <xf numFmtId="49" fontId="0" fillId="0" borderId="0" xfId="141" applyNumberFormat="1" applyAlignment="1">
      <alignment vertical="center"/>
      <protection/>
    </xf>
    <xf numFmtId="3" fontId="52" fillId="3" borderId="20" xfId="141" applyNumberFormat="1" applyFont="1" applyFill="1" applyBorder="1" applyAlignment="1">
      <alignment vertical="center"/>
      <protection/>
    </xf>
    <xf numFmtId="3" fontId="57" fillId="3" borderId="20" xfId="141" applyNumberFormat="1" applyFont="1" applyFill="1" applyBorder="1" applyAlignment="1">
      <alignment vertical="center"/>
      <protection/>
    </xf>
    <xf numFmtId="49" fontId="58" fillId="0" borderId="20" xfId="141" applyNumberFormat="1" applyFont="1" applyBorder="1" applyAlignment="1">
      <alignment horizontal="center" vertical="center"/>
      <protection/>
    </xf>
    <xf numFmtId="3" fontId="25" fillId="44" borderId="20" xfId="141" applyNumberFormat="1" applyFont="1" applyFill="1" applyBorder="1" applyAlignment="1">
      <alignment vertical="center"/>
      <protection/>
    </xf>
    <xf numFmtId="3" fontId="3" fillId="48" borderId="20" xfId="141" applyNumberFormat="1" applyFont="1" applyFill="1" applyBorder="1" applyAlignment="1">
      <alignment horizontal="center" vertical="center"/>
      <protection/>
    </xf>
    <xf numFmtId="3" fontId="3" fillId="48" borderId="20" xfId="141" applyNumberFormat="1" applyFont="1" applyFill="1" applyBorder="1" applyAlignment="1">
      <alignment vertical="center"/>
      <protection/>
    </xf>
    <xf numFmtId="49" fontId="7" fillId="44" borderId="20" xfId="141" applyNumberFormat="1" applyFont="1" applyFill="1" applyBorder="1" applyAlignment="1">
      <alignment horizontal="center" vertical="center"/>
      <protection/>
    </xf>
    <xf numFmtId="49" fontId="7" fillId="44" borderId="20" xfId="141" applyNumberFormat="1" applyFont="1" applyFill="1" applyBorder="1" applyAlignment="1">
      <alignment horizontal="left" vertical="center"/>
      <protection/>
    </xf>
    <xf numFmtId="3" fontId="28" fillId="48" borderId="20" xfId="141" applyNumberFormat="1" applyFont="1" applyFill="1" applyBorder="1" applyAlignment="1">
      <alignment vertical="center"/>
      <protection/>
    </xf>
    <xf numFmtId="3" fontId="28" fillId="0" borderId="20" xfId="141" applyNumberFormat="1" applyFont="1" applyFill="1" applyBorder="1" applyAlignment="1">
      <alignment vertical="center"/>
      <protection/>
    </xf>
    <xf numFmtId="9" fontId="0" fillId="0" borderId="0" xfId="151" applyFont="1" applyAlignment="1">
      <alignment vertical="center"/>
    </xf>
    <xf numFmtId="49" fontId="7" fillId="44" borderId="23" xfId="141" applyNumberFormat="1" applyFont="1" applyFill="1" applyBorder="1" applyAlignment="1">
      <alignment horizontal="center" vertical="center"/>
      <protection/>
    </xf>
    <xf numFmtId="3" fontId="25" fillId="44" borderId="20" xfId="141" applyNumberFormat="1" applyFont="1" applyFill="1" applyBorder="1" applyAlignment="1">
      <alignment vertical="center"/>
      <protection/>
    </xf>
    <xf numFmtId="49" fontId="4" fillId="0" borderId="20" xfId="141" applyNumberFormat="1" applyFont="1" applyBorder="1" applyAlignment="1">
      <alignment horizontal="center" vertical="center"/>
      <protection/>
    </xf>
    <xf numFmtId="49" fontId="4" fillId="47" borderId="20" xfId="141" applyNumberFormat="1" applyFont="1" applyFill="1" applyBorder="1" applyAlignment="1">
      <alignment horizontal="left" vertical="center"/>
      <protection/>
    </xf>
    <xf numFmtId="49" fontId="5" fillId="47" borderId="20" xfId="141" applyNumberFormat="1" applyFont="1" applyFill="1" applyBorder="1" applyAlignment="1">
      <alignment horizontal="left" vertical="center"/>
      <protection/>
    </xf>
    <xf numFmtId="3" fontId="28" fillId="0" borderId="20" xfId="142" applyNumberFormat="1" applyFont="1" applyFill="1" applyBorder="1" applyAlignment="1">
      <alignment vertical="center"/>
      <protection/>
    </xf>
    <xf numFmtId="49" fontId="20" fillId="0" borderId="0" xfId="141" applyNumberFormat="1" applyFont="1" applyAlignment="1">
      <alignment vertical="center"/>
      <protection/>
    </xf>
    <xf numFmtId="49" fontId="4" fillId="47" borderId="20" xfId="141" applyNumberFormat="1" applyFont="1" applyFill="1" applyBorder="1" applyAlignment="1">
      <alignment horizontal="left" vertical="center"/>
      <protection/>
    </xf>
    <xf numFmtId="3" fontId="28" fillId="0" borderId="20" xfId="142" applyNumberFormat="1" applyFont="1" applyFill="1" applyBorder="1" applyAlignment="1">
      <alignment horizontal="center" vertical="center"/>
      <protection/>
    </xf>
    <xf numFmtId="49" fontId="0" fillId="0" borderId="0" xfId="141" applyNumberFormat="1" applyFill="1">
      <alignment/>
      <protection/>
    </xf>
    <xf numFmtId="49" fontId="20" fillId="0" borderId="0" xfId="141" applyNumberFormat="1" applyFont="1">
      <alignment/>
      <protection/>
    </xf>
    <xf numFmtId="49" fontId="28" fillId="0" borderId="0" xfId="141" applyNumberFormat="1" applyFont="1" applyFill="1" applyBorder="1" applyAlignment="1">
      <alignment horizontal="center" wrapText="1"/>
      <protection/>
    </xf>
    <xf numFmtId="49" fontId="59" fillId="0" borderId="0" xfId="141" applyNumberFormat="1" applyFont="1" applyBorder="1">
      <alignment/>
      <protection/>
    </xf>
    <xf numFmtId="49" fontId="60" fillId="0" borderId="0" xfId="141" applyNumberFormat="1" applyFont="1">
      <alignment/>
      <protection/>
    </xf>
    <xf numFmtId="49" fontId="1" fillId="0" borderId="0" xfId="141" applyNumberFormat="1" applyFont="1">
      <alignment/>
      <protection/>
    </xf>
    <xf numFmtId="9" fontId="1" fillId="0" borderId="0" xfId="151" applyFont="1" applyAlignment="1">
      <alignment/>
    </xf>
    <xf numFmtId="49" fontId="61" fillId="0" borderId="0" xfId="141" applyNumberFormat="1" applyFont="1" applyBorder="1">
      <alignment/>
      <protection/>
    </xf>
    <xf numFmtId="49" fontId="25" fillId="0" borderId="0" xfId="141" applyNumberFormat="1" applyFont="1" applyBorder="1" applyAlignment="1">
      <alignment horizontal="center" wrapText="1"/>
      <protection/>
    </xf>
    <xf numFmtId="49" fontId="25" fillId="0" borderId="0" xfId="141" applyNumberFormat="1" applyFont="1" applyFill="1" applyBorder="1" applyAlignment="1">
      <alignment horizontal="center" wrapText="1"/>
      <protection/>
    </xf>
    <xf numFmtId="49" fontId="62" fillId="0" borderId="0" xfId="141" applyNumberFormat="1" applyFont="1" applyBorder="1">
      <alignment/>
      <protection/>
    </xf>
    <xf numFmtId="49" fontId="63" fillId="0" borderId="0" xfId="141" applyNumberFormat="1" applyFont="1" applyBorder="1" applyAlignment="1">
      <alignment wrapText="1"/>
      <protection/>
    </xf>
    <xf numFmtId="49" fontId="2" fillId="0" borderId="0" xfId="141" applyNumberFormat="1" applyFont="1" applyBorder="1">
      <alignment/>
      <protection/>
    </xf>
    <xf numFmtId="49" fontId="40" fillId="0" borderId="0" xfId="141" applyNumberFormat="1" applyFont="1" applyBorder="1" applyAlignment="1">
      <alignment horizontal="center" wrapText="1"/>
      <protection/>
    </xf>
    <xf numFmtId="49" fontId="40" fillId="0" borderId="0" xfId="141" applyNumberFormat="1" applyFont="1" applyFill="1" applyBorder="1" applyAlignment="1">
      <alignment horizontal="center" wrapText="1"/>
      <protection/>
    </xf>
    <xf numFmtId="49" fontId="64" fillId="0" borderId="0" xfId="141" applyNumberFormat="1" applyFont="1" applyBorder="1">
      <alignment/>
      <protection/>
    </xf>
    <xf numFmtId="49" fontId="28" fillId="0" borderId="0" xfId="141" applyNumberFormat="1" applyFont="1">
      <alignment/>
      <protection/>
    </xf>
    <xf numFmtId="49" fontId="28" fillId="0" borderId="0" xfId="141" applyNumberFormat="1" applyFont="1" applyFill="1">
      <alignment/>
      <protection/>
    </xf>
    <xf numFmtId="49" fontId="28" fillId="47" borderId="0" xfId="141" applyNumberFormat="1" applyFont="1" applyFill="1">
      <alignment/>
      <protection/>
    </xf>
    <xf numFmtId="0" fontId="25" fillId="0" borderId="0" xfId="141" applyFont="1" applyAlignment="1">
      <alignment horizontal="center"/>
      <protection/>
    </xf>
    <xf numFmtId="49" fontId="25" fillId="47" borderId="0" xfId="141" applyNumberFormat="1" applyFont="1" applyFill="1" applyAlignment="1">
      <alignment horizontal="center"/>
      <protection/>
    </xf>
    <xf numFmtId="0" fontId="66" fillId="0" borderId="0" xfId="141" applyFont="1" applyAlignment="1">
      <alignment/>
      <protection/>
    </xf>
    <xf numFmtId="0" fontId="3" fillId="0" borderId="0" xfId="141" applyFont="1" applyAlignment="1">
      <alignment/>
      <protection/>
    </xf>
    <xf numFmtId="49" fontId="31" fillId="0" borderId="0" xfId="141" applyNumberFormat="1" applyFont="1">
      <alignment/>
      <protection/>
    </xf>
    <xf numFmtId="3" fontId="0" fillId="0" borderId="0" xfId="141" applyNumberFormat="1" applyFont="1" applyFill="1">
      <alignment/>
      <protection/>
    </xf>
    <xf numFmtId="49" fontId="3" fillId="0" borderId="0" xfId="141" applyNumberFormat="1" applyFont="1" applyFill="1" applyAlignment="1">
      <alignment wrapText="1"/>
      <protection/>
    </xf>
    <xf numFmtId="49" fontId="0" fillId="0" borderId="0" xfId="141" applyNumberFormat="1" applyFont="1" applyFill="1" applyBorder="1" applyAlignment="1">
      <alignment/>
      <protection/>
    </xf>
    <xf numFmtId="49" fontId="0" fillId="0" borderId="0" xfId="141" applyNumberFormat="1" applyFont="1" applyFill="1" applyBorder="1">
      <alignment/>
      <protection/>
    </xf>
    <xf numFmtId="49" fontId="19" fillId="0" borderId="22" xfId="141" applyNumberFormat="1" applyFont="1" applyFill="1" applyBorder="1" applyAlignment="1">
      <alignment/>
      <protection/>
    </xf>
    <xf numFmtId="49" fontId="5" fillId="0" borderId="22" xfId="141" applyNumberFormat="1" applyFont="1" applyFill="1" applyBorder="1" applyAlignment="1">
      <alignment horizontal="center"/>
      <protection/>
    </xf>
    <xf numFmtId="49" fontId="0" fillId="0" borderId="0" xfId="141" applyNumberFormat="1" applyFill="1" applyBorder="1">
      <alignment/>
      <protection/>
    </xf>
    <xf numFmtId="49" fontId="6" fillId="0" borderId="20" xfId="141" applyNumberFormat="1" applyFont="1" applyFill="1" applyBorder="1" applyAlignment="1">
      <alignment horizontal="center" vertical="center" wrapText="1"/>
      <protection/>
    </xf>
    <xf numFmtId="49" fontId="19" fillId="0" borderId="20" xfId="141" applyNumberFormat="1" applyFont="1" applyFill="1" applyBorder="1" applyAlignment="1">
      <alignment horizontal="center" vertical="center" wrapText="1"/>
      <protection/>
    </xf>
    <xf numFmtId="3" fontId="29" fillId="3" borderId="20" xfId="141" applyNumberFormat="1" applyFont="1" applyFill="1" applyBorder="1" applyAlignment="1">
      <alignment horizontal="center" vertical="center" wrapText="1"/>
      <protection/>
    </xf>
    <xf numFmtId="3" fontId="69" fillId="3" borderId="20" xfId="141" applyNumberFormat="1" applyFont="1" applyFill="1" applyBorder="1" applyAlignment="1">
      <alignment horizontal="center" vertical="center" wrapText="1"/>
      <protection/>
    </xf>
    <xf numFmtId="3" fontId="6" fillId="44" borderId="20" xfId="141" applyNumberFormat="1" applyFont="1" applyFill="1" applyBorder="1" applyAlignment="1">
      <alignment horizontal="center" vertical="center" wrapText="1"/>
      <protection/>
    </xf>
    <xf numFmtId="49" fontId="7" fillId="0" borderId="20" xfId="141" applyNumberFormat="1" applyFont="1" applyFill="1" applyBorder="1" applyAlignment="1">
      <alignment horizontal="center"/>
      <protection/>
    </xf>
    <xf numFmtId="49" fontId="7" fillId="0" borderId="20" xfId="141" applyNumberFormat="1" applyFont="1" applyFill="1" applyBorder="1" applyAlignment="1">
      <alignment horizontal="left"/>
      <protection/>
    </xf>
    <xf numFmtId="3" fontId="5" fillId="44" borderId="20" xfId="141" applyNumberFormat="1" applyFont="1" applyFill="1" applyBorder="1" applyAlignment="1">
      <alignment horizontal="center" vertical="center" wrapText="1"/>
      <protection/>
    </xf>
    <xf numFmtId="3" fontId="5" fillId="0" borderId="20" xfId="141" applyNumberFormat="1" applyFont="1" applyFill="1" applyBorder="1" applyAlignment="1">
      <alignment horizontal="center" vertical="center" wrapText="1"/>
      <protection/>
    </xf>
    <xf numFmtId="9" fontId="0" fillId="0" borderId="0" xfId="151" applyFont="1" applyFill="1" applyAlignment="1">
      <alignment/>
    </xf>
    <xf numFmtId="49" fontId="7" fillId="44" borderId="23" xfId="141" applyNumberFormat="1" applyFont="1" applyFill="1" applyBorder="1" applyAlignment="1">
      <alignment horizontal="center"/>
      <protection/>
    </xf>
    <xf numFmtId="49" fontId="7" fillId="44" borderId="20" xfId="141" applyNumberFormat="1" applyFont="1" applyFill="1" applyBorder="1" applyAlignment="1">
      <alignment horizontal="left"/>
      <protection/>
    </xf>
    <xf numFmtId="49" fontId="4" fillId="0" borderId="23" xfId="141" applyNumberFormat="1" applyFont="1" applyFill="1" applyBorder="1" applyAlignment="1">
      <alignment horizontal="center"/>
      <protection/>
    </xf>
    <xf numFmtId="49" fontId="4" fillId="47" borderId="20" xfId="141" applyNumberFormat="1" applyFont="1" applyFill="1" applyBorder="1" applyAlignment="1">
      <alignment horizontal="left"/>
      <protection/>
    </xf>
    <xf numFmtId="3" fontId="5" fillId="47" borderId="20" xfId="141" applyNumberFormat="1" applyFont="1" applyFill="1" applyBorder="1" applyAlignment="1">
      <alignment horizontal="center" vertical="center" wrapText="1"/>
      <protection/>
    </xf>
    <xf numFmtId="49" fontId="5" fillId="47" borderId="20" xfId="141" applyNumberFormat="1" applyFont="1" applyFill="1" applyBorder="1" applyAlignment="1">
      <alignment horizontal="left"/>
      <protection/>
    </xf>
    <xf numFmtId="49" fontId="6" fillId="0" borderId="19" xfId="141" applyNumberFormat="1" applyFont="1" applyFill="1" applyBorder="1" applyAlignment="1">
      <alignment horizontal="center"/>
      <protection/>
    </xf>
    <xf numFmtId="49" fontId="6" fillId="0" borderId="19" xfId="141" applyNumberFormat="1" applyFont="1" applyFill="1" applyBorder="1" applyAlignment="1">
      <alignment horizontal="left"/>
      <protection/>
    </xf>
    <xf numFmtId="3" fontId="5" fillId="0" borderId="19" xfId="141" applyNumberFormat="1" applyFont="1" applyFill="1" applyBorder="1" applyAlignment="1">
      <alignment horizontal="center" vertical="center" wrapText="1"/>
      <protection/>
    </xf>
    <xf numFmtId="49" fontId="15" fillId="0" borderId="0" xfId="141" applyNumberFormat="1" applyFont="1" applyFill="1" applyBorder="1" applyAlignment="1">
      <alignment vertical="center" wrapText="1"/>
      <protection/>
    </xf>
    <xf numFmtId="49" fontId="70" fillId="0" borderId="0" xfId="141" applyNumberFormat="1" applyFont="1" applyFill="1">
      <alignment/>
      <protection/>
    </xf>
    <xf numFmtId="49" fontId="4" fillId="0" borderId="0" xfId="141" applyNumberFormat="1" applyFont="1" applyFill="1">
      <alignment/>
      <protection/>
    </xf>
    <xf numFmtId="49" fontId="0" fillId="47" borderId="0" xfId="141" applyNumberFormat="1" applyFont="1" applyFill="1">
      <alignment/>
      <protection/>
    </xf>
    <xf numFmtId="49" fontId="3" fillId="47" borderId="0" xfId="141" applyNumberFormat="1" applyFont="1" applyFill="1" applyAlignment="1">
      <alignment horizontal="center"/>
      <protection/>
    </xf>
    <xf numFmtId="49" fontId="22" fillId="0" borderId="0" xfId="141" applyNumberFormat="1" applyFont="1" applyFill="1">
      <alignment/>
      <protection/>
    </xf>
    <xf numFmtId="49" fontId="3" fillId="0" borderId="0" xfId="141" applyNumberFormat="1" applyFont="1" applyFill="1">
      <alignment/>
      <protection/>
    </xf>
    <xf numFmtId="49" fontId="13" fillId="0" borderId="0" xfId="141" applyNumberFormat="1" applyFont="1" applyFill="1" applyAlignment="1">
      <alignment/>
      <protection/>
    </xf>
    <xf numFmtId="49" fontId="13" fillId="0" borderId="0" xfId="141" applyNumberFormat="1" applyFont="1" applyFill="1" applyAlignment="1">
      <alignment wrapText="1"/>
      <protection/>
    </xf>
    <xf numFmtId="49" fontId="13" fillId="0" borderId="0" xfId="141" applyNumberFormat="1" applyFont="1" applyFill="1" applyAlignment="1">
      <alignment horizontal="left" wrapText="1"/>
      <protection/>
    </xf>
    <xf numFmtId="49" fontId="0" fillId="0" borderId="0" xfId="141" applyNumberFormat="1" applyAlignment="1">
      <alignment horizontal="left"/>
      <protection/>
    </xf>
    <xf numFmtId="49" fontId="0" fillId="0" borderId="0" xfId="141" applyNumberFormat="1" applyFont="1" applyBorder="1" applyAlignment="1">
      <alignment horizontal="left"/>
      <protection/>
    </xf>
    <xf numFmtId="49" fontId="13" fillId="0" borderId="20" xfId="141" applyNumberFormat="1" applyFont="1" applyBorder="1" applyAlignment="1">
      <alignment horizontal="center"/>
      <protection/>
    </xf>
    <xf numFmtId="3" fontId="4" fillId="4" borderId="20" xfId="142" applyNumberFormat="1" applyFont="1" applyFill="1" applyBorder="1" applyAlignment="1">
      <alignment horizontal="center" vertical="center"/>
      <protection/>
    </xf>
    <xf numFmtId="3" fontId="32" fillId="47" borderId="20" xfId="141" applyNumberFormat="1" applyFont="1" applyFill="1" applyBorder="1" applyAlignment="1">
      <alignment horizontal="center" vertical="center"/>
      <protection/>
    </xf>
    <xf numFmtId="3" fontId="17" fillId="3" borderId="20" xfId="141" applyNumberFormat="1" applyFont="1" applyFill="1" applyBorder="1" applyAlignment="1">
      <alignment horizontal="center" vertical="center"/>
      <protection/>
    </xf>
    <xf numFmtId="3" fontId="34" fillId="3" borderId="20" xfId="141" applyNumberFormat="1" applyFont="1" applyFill="1" applyBorder="1" applyAlignment="1">
      <alignment horizontal="center" vertical="center"/>
      <protection/>
    </xf>
    <xf numFmtId="3" fontId="7" fillId="44" borderId="20" xfId="141" applyNumberFormat="1" applyFont="1" applyFill="1" applyBorder="1" applyAlignment="1">
      <alignment horizontal="center" vertical="center"/>
      <protection/>
    </xf>
    <xf numFmtId="3" fontId="7" fillId="44" borderId="20" xfId="141" applyNumberFormat="1" applyFont="1" applyFill="1" applyBorder="1" applyAlignment="1">
      <alignment horizontal="center" vertical="center"/>
      <protection/>
    </xf>
    <xf numFmtId="3" fontId="7" fillId="4" borderId="20" xfId="142" applyNumberFormat="1" applyFont="1" applyFill="1" applyBorder="1" applyAlignment="1">
      <alignment horizontal="center" vertical="center"/>
      <protection/>
    </xf>
    <xf numFmtId="49" fontId="7" fillId="0" borderId="20" xfId="141" applyNumberFormat="1" applyFont="1" applyBorder="1" applyAlignment="1">
      <alignment horizontal="center" vertical="center"/>
      <protection/>
    </xf>
    <xf numFmtId="49" fontId="7" fillId="47" borderId="20" xfId="141" applyNumberFormat="1" applyFont="1" applyFill="1" applyBorder="1" applyAlignment="1">
      <alignment horizontal="left" vertical="center"/>
      <protection/>
    </xf>
    <xf numFmtId="3" fontId="4" fillId="47" borderId="20" xfId="141" applyNumberFormat="1" applyFont="1" applyFill="1" applyBorder="1" applyAlignment="1">
      <alignment horizontal="center" vertical="center"/>
      <protection/>
    </xf>
    <xf numFmtId="3" fontId="4" fillId="44" borderId="20" xfId="141" applyNumberFormat="1" applyFont="1" applyFill="1" applyBorder="1" applyAlignment="1">
      <alignment horizontal="center" vertical="center"/>
      <protection/>
    </xf>
    <xf numFmtId="49" fontId="4" fillId="0" borderId="23" xfId="141" applyNumberFormat="1" applyFont="1" applyBorder="1" applyAlignment="1">
      <alignment horizontal="center" vertical="center"/>
      <protection/>
    </xf>
    <xf numFmtId="49" fontId="0" fillId="0" borderId="0" xfId="141" applyNumberFormat="1" applyFont="1" applyAlignment="1">
      <alignment vertical="center"/>
      <protection/>
    </xf>
    <xf numFmtId="3" fontId="4" fillId="0" borderId="20" xfId="141" applyNumberFormat="1" applyFont="1" applyFill="1" applyBorder="1" applyAlignment="1">
      <alignment horizontal="center" vertical="center"/>
      <protection/>
    </xf>
    <xf numFmtId="3" fontId="4" fillId="47" borderId="20" xfId="142" applyNumberFormat="1" applyFont="1" applyFill="1" applyBorder="1" applyAlignment="1">
      <alignment horizontal="center" vertical="center"/>
      <protection/>
    </xf>
    <xf numFmtId="49" fontId="4" fillId="47" borderId="23" xfId="141" applyNumberFormat="1" applyFont="1" applyFill="1" applyBorder="1" applyAlignment="1">
      <alignment horizontal="center" vertical="center"/>
      <protection/>
    </xf>
    <xf numFmtId="9" fontId="20" fillId="0" borderId="0" xfId="151" applyFont="1" applyAlignment="1">
      <alignment vertical="center"/>
    </xf>
    <xf numFmtId="49" fontId="4" fillId="0" borderId="0" xfId="141" applyNumberFormat="1" applyFont="1" applyBorder="1" applyAlignment="1">
      <alignment horizontal="center"/>
      <protection/>
    </xf>
    <xf numFmtId="49" fontId="4" fillId="47" borderId="0" xfId="141" applyNumberFormat="1" applyFont="1" applyFill="1" applyBorder="1" applyAlignment="1">
      <alignment horizontal="left"/>
      <protection/>
    </xf>
    <xf numFmtId="49" fontId="0" fillId="0" borderId="0" xfId="141" applyNumberFormat="1" applyFont="1" applyFill="1" applyBorder="1" applyAlignment="1">
      <alignment horizontal="center"/>
      <protection/>
    </xf>
    <xf numFmtId="3" fontId="4" fillId="47" borderId="19" xfId="142" applyNumberFormat="1" applyFont="1" applyFill="1" applyBorder="1" applyAlignment="1">
      <alignment horizontal="center" vertical="center"/>
      <protection/>
    </xf>
    <xf numFmtId="9" fontId="0" fillId="0" borderId="0" xfId="151" applyFont="1" applyAlignment="1">
      <alignment/>
    </xf>
    <xf numFmtId="49" fontId="28" fillId="0" borderId="0" xfId="141" applyNumberFormat="1" applyFont="1" applyBorder="1" applyAlignment="1">
      <alignment wrapText="1"/>
      <protection/>
    </xf>
    <xf numFmtId="3" fontId="4" fillId="47" borderId="0" xfId="142" applyNumberFormat="1" applyFont="1" applyFill="1" applyBorder="1" applyAlignment="1">
      <alignment horizontal="center" vertical="center"/>
      <protection/>
    </xf>
    <xf numFmtId="49" fontId="28" fillId="0" borderId="0" xfId="141" applyNumberFormat="1" applyFont="1" applyAlignment="1">
      <alignment wrapText="1"/>
      <protection/>
    </xf>
    <xf numFmtId="49" fontId="37" fillId="0" borderId="0" xfId="141" applyNumberFormat="1" applyFont="1">
      <alignment/>
      <protection/>
    </xf>
    <xf numFmtId="49" fontId="37" fillId="0" borderId="0" xfId="141" applyNumberFormat="1" applyFont="1" applyAlignment="1">
      <alignment wrapText="1"/>
      <protection/>
    </xf>
    <xf numFmtId="49" fontId="3" fillId="47" borderId="0" xfId="141" applyNumberFormat="1" applyFont="1" applyFill="1" applyAlignment="1">
      <alignment/>
      <protection/>
    </xf>
    <xf numFmtId="49" fontId="72" fillId="0" borderId="0" xfId="141" applyNumberFormat="1" applyFont="1">
      <alignment/>
      <protection/>
    </xf>
    <xf numFmtId="49" fontId="13" fillId="0" borderId="0" xfId="141" applyNumberFormat="1" applyFont="1" applyBorder="1" applyAlignment="1">
      <alignment wrapText="1"/>
      <protection/>
    </xf>
    <xf numFmtId="49" fontId="0" fillId="0" borderId="0" xfId="143" applyNumberFormat="1" applyFont="1" applyAlignment="1">
      <alignment horizontal="left"/>
      <protection/>
    </xf>
    <xf numFmtId="49" fontId="14" fillId="0" borderId="0" xfId="143" applyNumberFormat="1" applyFont="1" applyAlignment="1">
      <alignment wrapText="1"/>
      <protection/>
    </xf>
    <xf numFmtId="49" fontId="3" fillId="47" borderId="0" xfId="143" applyNumberFormat="1" applyFont="1" applyFill="1" applyBorder="1" applyAlignment="1">
      <alignment horizontal="left"/>
      <protection/>
    </xf>
    <xf numFmtId="49" fontId="0" fillId="47" borderId="0" xfId="143" applyNumberFormat="1" applyFont="1" applyFill="1" applyBorder="1" applyAlignment="1">
      <alignment horizontal="left"/>
      <protection/>
    </xf>
    <xf numFmtId="49" fontId="26" fillId="0" borderId="0" xfId="143" applyNumberFormat="1" applyFont="1">
      <alignment/>
      <protection/>
    </xf>
    <xf numFmtId="49" fontId="0" fillId="47" borderId="0" xfId="143" applyNumberFormat="1" applyFont="1" applyFill="1" applyBorder="1" applyAlignment="1">
      <alignment/>
      <protection/>
    </xf>
    <xf numFmtId="49" fontId="3" fillId="0" borderId="0" xfId="143" applyNumberFormat="1" applyFont="1" applyBorder="1" applyAlignment="1">
      <alignment horizontal="left"/>
      <protection/>
    </xf>
    <xf numFmtId="49" fontId="0" fillId="0" borderId="0" xfId="143" applyNumberFormat="1" applyFont="1" applyBorder="1" applyAlignment="1">
      <alignment horizontal="left"/>
      <protection/>
    </xf>
    <xf numFmtId="49" fontId="0" fillId="0" borderId="0" xfId="143" applyNumberFormat="1" applyFont="1" applyBorder="1" applyAlignment="1">
      <alignment/>
      <protection/>
    </xf>
    <xf numFmtId="49" fontId="18" fillId="0" borderId="22" xfId="143" applyNumberFormat="1" applyFont="1" applyBorder="1" applyAlignment="1">
      <alignment horizontal="left"/>
      <protection/>
    </xf>
    <xf numFmtId="49" fontId="3" fillId="0" borderId="22" xfId="143" applyNumberFormat="1" applyFont="1" applyBorder="1" applyAlignment="1">
      <alignment horizontal="left"/>
      <protection/>
    </xf>
    <xf numFmtId="49" fontId="26" fillId="0" borderId="0" xfId="143" applyNumberFormat="1" applyFont="1" applyFill="1">
      <alignment/>
      <protection/>
    </xf>
    <xf numFmtId="49" fontId="26" fillId="0" borderId="0" xfId="143" applyNumberFormat="1" applyFont="1" applyAlignment="1">
      <alignment vertical="center"/>
      <protection/>
    </xf>
    <xf numFmtId="49" fontId="6" fillId="47" borderId="20" xfId="143" applyNumberFormat="1" applyFont="1" applyFill="1" applyBorder="1" applyAlignment="1">
      <alignment horizontal="left" vertical="center"/>
      <protection/>
    </xf>
    <xf numFmtId="49" fontId="1" fillId="0" borderId="0" xfId="143" applyNumberFormat="1" applyFont="1">
      <alignment/>
      <protection/>
    </xf>
    <xf numFmtId="49" fontId="28" fillId="0" borderId="0" xfId="143" applyNumberFormat="1" applyFont="1" applyBorder="1" applyAlignment="1">
      <alignment/>
      <protection/>
    </xf>
    <xf numFmtId="49" fontId="79" fillId="0" borderId="0" xfId="143" applyNumberFormat="1" applyFont="1">
      <alignment/>
      <protection/>
    </xf>
    <xf numFmtId="49" fontId="25" fillId="0" borderId="0" xfId="143" applyNumberFormat="1" applyFont="1" applyBorder="1" applyAlignment="1">
      <alignment/>
      <protection/>
    </xf>
    <xf numFmtId="49" fontId="5" fillId="0" borderId="0" xfId="143" applyNumberFormat="1" applyFont="1">
      <alignment/>
      <protection/>
    </xf>
    <xf numFmtId="49" fontId="28" fillId="0" borderId="0" xfId="143" applyNumberFormat="1" applyFont="1" applyAlignment="1">
      <alignment horizontal="center"/>
      <protection/>
    </xf>
    <xf numFmtId="49" fontId="28" fillId="0" borderId="0" xfId="143" applyNumberFormat="1" applyFont="1">
      <alignment/>
      <protection/>
    </xf>
    <xf numFmtId="49" fontId="79" fillId="0" borderId="0" xfId="143" applyNumberFormat="1" applyFont="1" applyAlignment="1">
      <alignment horizontal="center"/>
      <protection/>
    </xf>
    <xf numFmtId="49" fontId="13" fillId="0" borderId="0" xfId="143" applyNumberFormat="1" applyFont="1" applyBorder="1" applyAlignment="1">
      <alignment wrapText="1"/>
      <protection/>
    </xf>
    <xf numFmtId="49" fontId="81" fillId="0" borderId="0" xfId="143" applyNumberFormat="1" applyFont="1">
      <alignment/>
      <protection/>
    </xf>
    <xf numFmtId="9" fontId="26" fillId="0" borderId="0" xfId="151" applyFont="1" applyAlignment="1">
      <alignment/>
    </xf>
    <xf numFmtId="3" fontId="0" fillId="47" borderId="0" xfId="143" applyNumberFormat="1" applyFont="1" applyFill="1" applyBorder="1" applyAlignment="1">
      <alignment/>
      <protection/>
    </xf>
    <xf numFmtId="0" fontId="26" fillId="0" borderId="0" xfId="143">
      <alignment/>
      <protection/>
    </xf>
    <xf numFmtId="0" fontId="0" fillId="0" borderId="0" xfId="143" applyFont="1" applyAlignment="1">
      <alignment horizontal="left"/>
      <protection/>
    </xf>
    <xf numFmtId="0" fontId="0" fillId="0" borderId="0" xfId="143" applyFont="1" applyBorder="1" applyAlignment="1">
      <alignment/>
      <protection/>
    </xf>
    <xf numFmtId="0" fontId="0" fillId="0" borderId="0" xfId="143" applyFont="1" applyBorder="1" applyAlignment="1">
      <alignment horizontal="left"/>
      <protection/>
    </xf>
    <xf numFmtId="0" fontId="26" fillId="0" borderId="0" xfId="143" applyFont="1">
      <alignment/>
      <protection/>
    </xf>
    <xf numFmtId="0" fontId="6" fillId="0" borderId="20" xfId="143" applyFont="1" applyBorder="1" applyAlignment="1">
      <alignment horizontal="center" vertical="center"/>
      <protection/>
    </xf>
    <xf numFmtId="0" fontId="6" fillId="47" borderId="20" xfId="143" applyFont="1" applyFill="1" applyBorder="1" applyAlignment="1">
      <alignment horizontal="left" vertical="center"/>
      <protection/>
    </xf>
    <xf numFmtId="9" fontId="26" fillId="0" borderId="0" xfId="151" applyFont="1" applyAlignment="1">
      <alignment vertical="center"/>
    </xf>
    <xf numFmtId="0" fontId="5" fillId="0" borderId="23" xfId="143" applyFont="1" applyBorder="1" applyAlignment="1">
      <alignment horizontal="center" vertical="center"/>
      <protection/>
    </xf>
    <xf numFmtId="0" fontId="26" fillId="0" borderId="0" xfId="143" applyFont="1" applyAlignment="1">
      <alignment vertical="center"/>
      <protection/>
    </xf>
    <xf numFmtId="0" fontId="1" fillId="0" borderId="0" xfId="143" applyFont="1">
      <alignment/>
      <protection/>
    </xf>
    <xf numFmtId="0" fontId="25" fillId="0" borderId="0" xfId="143" applyFont="1" applyBorder="1" applyAlignment="1">
      <alignment horizontal="center" wrapText="1"/>
      <protection/>
    </xf>
    <xf numFmtId="0" fontId="28" fillId="0" borderId="0" xfId="143" applyFont="1" applyBorder="1" applyAlignment="1">
      <alignment wrapText="1"/>
      <protection/>
    </xf>
    <xf numFmtId="0" fontId="25" fillId="0" borderId="0" xfId="143" applyNumberFormat="1" applyFont="1" applyBorder="1" applyAlignment="1">
      <alignment/>
      <protection/>
    </xf>
    <xf numFmtId="0" fontId="79" fillId="0" borderId="0" xfId="143" applyFont="1">
      <alignment/>
      <protection/>
    </xf>
    <xf numFmtId="0" fontId="25" fillId="0" borderId="0" xfId="143" applyNumberFormat="1" applyFont="1" applyBorder="1" applyAlignment="1">
      <alignment horizontal="center"/>
      <protection/>
    </xf>
    <xf numFmtId="0" fontId="5" fillId="0" borderId="0" xfId="143" applyFont="1">
      <alignment/>
      <protection/>
    </xf>
    <xf numFmtId="0" fontId="28" fillId="0" borderId="0" xfId="143" applyFont="1">
      <alignment/>
      <protection/>
    </xf>
    <xf numFmtId="0" fontId="25" fillId="0" borderId="0" xfId="141" applyFont="1" applyAlignment="1">
      <alignment/>
      <protection/>
    </xf>
    <xf numFmtId="49" fontId="19" fillId="0" borderId="0" xfId="143" applyNumberFormat="1" applyFont="1">
      <alignment/>
      <protection/>
    </xf>
    <xf numFmtId="49" fontId="4" fillId="47" borderId="0" xfId="143" applyNumberFormat="1" applyFont="1" applyFill="1" applyBorder="1" applyAlignment="1">
      <alignment horizontal="left"/>
      <protection/>
    </xf>
    <xf numFmtId="49" fontId="4" fillId="0" borderId="0" xfId="143" applyNumberFormat="1" applyFont="1" applyBorder="1" applyAlignment="1">
      <alignment horizontal="left"/>
      <protection/>
    </xf>
    <xf numFmtId="49" fontId="0" fillId="0" borderId="22" xfId="143" applyNumberFormat="1" applyFont="1" applyBorder="1" applyAlignment="1">
      <alignment/>
      <protection/>
    </xf>
    <xf numFmtId="49" fontId="6" fillId="0" borderId="20" xfId="143" applyNumberFormat="1" applyFont="1" applyFill="1" applyBorder="1" applyAlignment="1">
      <alignment horizontal="center" vertical="center" wrapText="1"/>
      <protection/>
    </xf>
    <xf numFmtId="49" fontId="5" fillId="0" borderId="24" xfId="143" applyNumberFormat="1" applyFont="1" applyFill="1" applyBorder="1">
      <alignment/>
      <protection/>
    </xf>
    <xf numFmtId="49" fontId="5" fillId="0" borderId="0" xfId="143" applyNumberFormat="1" applyFont="1" applyFill="1">
      <alignment/>
      <protection/>
    </xf>
    <xf numFmtId="49" fontId="24" fillId="0" borderId="0" xfId="143" applyNumberFormat="1" applyFont="1" applyFill="1">
      <alignment/>
      <protection/>
    </xf>
    <xf numFmtId="49" fontId="6" fillId="0" borderId="25" xfId="143" applyNumberFormat="1" applyFont="1" applyFill="1" applyBorder="1" applyAlignment="1">
      <alignment horizontal="center" vertical="center" wrapText="1"/>
      <protection/>
    </xf>
    <xf numFmtId="49" fontId="19" fillId="0" borderId="20" xfId="143" applyNumberFormat="1" applyFont="1" applyFill="1" applyBorder="1" applyAlignment="1">
      <alignment horizontal="center" vertical="center"/>
      <protection/>
    </xf>
    <xf numFmtId="49" fontId="19" fillId="0" borderId="20" xfId="143" applyNumberFormat="1" applyFont="1" applyBorder="1" applyAlignment="1">
      <alignment horizontal="center" vertical="center"/>
      <protection/>
    </xf>
    <xf numFmtId="49" fontId="5" fillId="0" borderId="0" xfId="143" applyNumberFormat="1" applyFont="1" applyAlignment="1">
      <alignment vertical="center"/>
      <protection/>
    </xf>
    <xf numFmtId="3" fontId="29" fillId="3" borderId="20" xfId="143" applyNumberFormat="1" applyFont="1" applyFill="1" applyBorder="1" applyAlignment="1">
      <alignment horizontal="center" vertical="center"/>
      <protection/>
    </xf>
    <xf numFmtId="3" fontId="69" fillId="3" borderId="20" xfId="143" applyNumberFormat="1" applyFont="1" applyFill="1" applyBorder="1" applyAlignment="1">
      <alignment horizontal="center" vertical="center"/>
      <protection/>
    </xf>
    <xf numFmtId="3" fontId="29" fillId="4" borderId="20" xfId="143" applyNumberFormat="1" applyFont="1" applyFill="1" applyBorder="1" applyAlignment="1">
      <alignment horizontal="center" vertical="center"/>
      <protection/>
    </xf>
    <xf numFmtId="3" fontId="6" fillId="44" borderId="20" xfId="143" applyNumberFormat="1" applyFont="1" applyFill="1" applyBorder="1" applyAlignment="1">
      <alignment horizontal="center" vertical="center"/>
      <protection/>
    </xf>
    <xf numFmtId="49" fontId="6" fillId="0" borderId="20" xfId="143" applyNumberFormat="1" applyFont="1" applyBorder="1" applyAlignment="1">
      <alignment horizontal="center" vertical="center"/>
      <protection/>
    </xf>
    <xf numFmtId="3" fontId="5" fillId="47" borderId="20" xfId="143" applyNumberFormat="1" applyFont="1" applyFill="1" applyBorder="1" applyAlignment="1">
      <alignment horizontal="center" vertical="center"/>
      <protection/>
    </xf>
    <xf numFmtId="49" fontId="6" fillId="0" borderId="23" xfId="143" applyNumberFormat="1" applyFont="1" applyBorder="1" applyAlignment="1">
      <alignment horizontal="center" vertical="center"/>
      <protection/>
    </xf>
    <xf numFmtId="49" fontId="5" fillId="0" borderId="23" xfId="143" applyNumberFormat="1" applyFont="1" applyBorder="1" applyAlignment="1">
      <alignment horizontal="center" vertical="center"/>
      <protection/>
    </xf>
    <xf numFmtId="3" fontId="5" fillId="0" borderId="20" xfId="143" applyNumberFormat="1" applyFont="1" applyBorder="1" applyAlignment="1">
      <alignment horizontal="center" vertical="center"/>
      <protection/>
    </xf>
    <xf numFmtId="49" fontId="87" fillId="0" borderId="0" xfId="143" applyNumberFormat="1" applyFont="1">
      <alignment/>
      <protection/>
    </xf>
    <xf numFmtId="49" fontId="26" fillId="0" borderId="0" xfId="143" applyNumberFormat="1">
      <alignment/>
      <protection/>
    </xf>
    <xf numFmtId="49" fontId="28" fillId="0" borderId="0" xfId="143" applyNumberFormat="1" applyFont="1" applyBorder="1" applyAlignment="1">
      <alignment wrapText="1"/>
      <protection/>
    </xf>
    <xf numFmtId="49" fontId="21" fillId="0" borderId="0" xfId="143" applyNumberFormat="1" applyFont="1">
      <alignment/>
      <protection/>
    </xf>
    <xf numFmtId="49" fontId="31" fillId="0" borderId="0" xfId="143" applyNumberFormat="1" applyFont="1">
      <alignment/>
      <protection/>
    </xf>
    <xf numFmtId="49" fontId="31" fillId="0" borderId="0" xfId="143" applyNumberFormat="1" applyFont="1" applyAlignment="1">
      <alignment horizontal="center"/>
      <protection/>
    </xf>
    <xf numFmtId="0" fontId="4" fillId="0" borderId="0" xfId="143" applyNumberFormat="1" applyFont="1" applyAlignment="1">
      <alignment horizontal="left"/>
      <protection/>
    </xf>
    <xf numFmtId="0" fontId="5" fillId="0" borderId="0" xfId="143" applyFont="1" applyAlignment="1">
      <alignment/>
      <protection/>
    </xf>
    <xf numFmtId="3" fontId="5" fillId="0" borderId="0" xfId="143" applyNumberFormat="1" applyFont="1">
      <alignment/>
      <protection/>
    </xf>
    <xf numFmtId="0" fontId="7" fillId="0" borderId="0" xfId="143" applyFont="1" applyBorder="1" applyAlignment="1">
      <alignment/>
      <protection/>
    </xf>
    <xf numFmtId="0" fontId="26" fillId="0" borderId="24" xfId="143" applyFont="1" applyBorder="1">
      <alignment/>
      <protection/>
    </xf>
    <xf numFmtId="0" fontId="26" fillId="0" borderId="0" xfId="143" applyFont="1" applyBorder="1">
      <alignment/>
      <protection/>
    </xf>
    <xf numFmtId="0" fontId="12" fillId="0" borderId="20" xfId="143" applyFont="1" applyBorder="1" applyAlignment="1">
      <alignment horizontal="center" vertical="center" wrapText="1"/>
      <protection/>
    </xf>
    <xf numFmtId="0" fontId="19" fillId="0" borderId="23" xfId="143" applyFont="1" applyFill="1" applyBorder="1" applyAlignment="1">
      <alignment horizontal="center" vertical="center"/>
      <protection/>
    </xf>
    <xf numFmtId="0" fontId="19" fillId="0" borderId="20" xfId="143" applyFont="1" applyFill="1" applyBorder="1" applyAlignment="1">
      <alignment horizontal="center" vertical="center"/>
      <protection/>
    </xf>
    <xf numFmtId="0" fontId="19" fillId="0" borderId="20" xfId="143" applyFont="1" applyBorder="1" applyAlignment="1">
      <alignment horizontal="center" vertical="center"/>
      <protection/>
    </xf>
    <xf numFmtId="3" fontId="20" fillId="3" borderId="20" xfId="143" applyNumberFormat="1" applyFont="1" applyFill="1" applyBorder="1" applyAlignment="1">
      <alignment horizontal="center" vertical="center"/>
      <protection/>
    </xf>
    <xf numFmtId="3" fontId="35" fillId="3" borderId="20" xfId="143" applyNumberFormat="1" applyFont="1" applyFill="1" applyBorder="1" applyAlignment="1">
      <alignment horizontal="center" vertical="center"/>
      <protection/>
    </xf>
    <xf numFmtId="3" fontId="3" fillId="44" borderId="23" xfId="143" applyNumberFormat="1" applyFont="1" applyFill="1" applyBorder="1" applyAlignment="1">
      <alignment horizontal="center" vertical="center"/>
      <protection/>
    </xf>
    <xf numFmtId="3" fontId="0" fillId="48" borderId="23" xfId="143" applyNumberFormat="1" applyFont="1" applyFill="1" applyBorder="1" applyAlignment="1">
      <alignment horizontal="center" vertical="center"/>
      <protection/>
    </xf>
    <xf numFmtId="3" fontId="0" fillId="0" borderId="20" xfId="143" applyNumberFormat="1" applyFont="1" applyBorder="1" applyAlignment="1">
      <alignment horizontal="center" vertical="center"/>
      <protection/>
    </xf>
    <xf numFmtId="3" fontId="0" fillId="0" borderId="26" xfId="143" applyNumberFormat="1" applyFont="1" applyBorder="1" applyAlignment="1">
      <alignment horizontal="center" vertical="center"/>
      <protection/>
    </xf>
    <xf numFmtId="0" fontId="6" fillId="0" borderId="23" xfId="143" applyFont="1" applyBorder="1" applyAlignment="1">
      <alignment horizontal="center" vertical="center"/>
      <protection/>
    </xf>
    <xf numFmtId="3" fontId="0" fillId="44" borderId="23" xfId="143" applyNumberFormat="1" applyFont="1" applyFill="1" applyBorder="1" applyAlignment="1">
      <alignment horizontal="center" vertical="center"/>
      <protection/>
    </xf>
    <xf numFmtId="3" fontId="0" fillId="47" borderId="20" xfId="143" applyNumberFormat="1" applyFont="1" applyFill="1" applyBorder="1" applyAlignment="1">
      <alignment horizontal="center" vertical="center"/>
      <protection/>
    </xf>
    <xf numFmtId="3" fontId="0" fillId="47" borderId="26" xfId="143" applyNumberFormat="1" applyFont="1" applyFill="1" applyBorder="1" applyAlignment="1">
      <alignment horizontal="center" vertical="center"/>
      <protection/>
    </xf>
    <xf numFmtId="0" fontId="28" fillId="0" borderId="0" xfId="143" applyNumberFormat="1" applyFont="1" applyBorder="1" applyAlignment="1">
      <alignment/>
      <protection/>
    </xf>
    <xf numFmtId="0" fontId="88" fillId="0" borderId="0" xfId="143" applyFont="1">
      <alignment/>
      <protection/>
    </xf>
    <xf numFmtId="0" fontId="16" fillId="0" borderId="0" xfId="143" applyFont="1">
      <alignment/>
      <protection/>
    </xf>
    <xf numFmtId="0" fontId="27" fillId="0" borderId="0" xfId="143" applyFont="1">
      <alignment/>
      <protection/>
    </xf>
    <xf numFmtId="0" fontId="13" fillId="0" borderId="0" xfId="143" applyFont="1">
      <alignment/>
      <protection/>
    </xf>
    <xf numFmtId="49" fontId="13" fillId="0" borderId="0" xfId="143" applyNumberFormat="1" applyFont="1">
      <alignment/>
      <protection/>
    </xf>
    <xf numFmtId="0" fontId="81" fillId="0" borderId="0" xfId="143" applyFont="1">
      <alignment/>
      <protection/>
    </xf>
    <xf numFmtId="49" fontId="18" fillId="0" borderId="0" xfId="143" applyNumberFormat="1" applyFont="1" applyBorder="1" applyAlignment="1">
      <alignment/>
      <protection/>
    </xf>
    <xf numFmtId="49" fontId="26" fillId="0" borderId="0" xfId="143" applyNumberFormat="1" applyFont="1" applyAlignment="1">
      <alignment horizontal="center"/>
      <protection/>
    </xf>
    <xf numFmtId="3" fontId="19" fillId="47" borderId="22" xfId="143" applyNumberFormat="1" applyFont="1" applyFill="1" applyBorder="1" applyAlignment="1">
      <alignment horizontal="center"/>
      <protection/>
    </xf>
    <xf numFmtId="49" fontId="5" fillId="0" borderId="22" xfId="143" applyNumberFormat="1" applyFont="1" applyBorder="1" applyAlignment="1">
      <alignment/>
      <protection/>
    </xf>
    <xf numFmtId="49" fontId="26" fillId="0" borderId="0" xfId="143" applyNumberFormat="1" applyFill="1">
      <alignment/>
      <protection/>
    </xf>
    <xf numFmtId="49" fontId="26" fillId="0" borderId="0" xfId="143" applyNumberFormat="1" applyFill="1" applyAlignment="1">
      <alignment vertical="center" wrapText="1"/>
      <protection/>
    </xf>
    <xf numFmtId="49" fontId="26" fillId="0" borderId="0" xfId="143" applyNumberFormat="1" applyAlignment="1">
      <alignment vertical="center"/>
      <protection/>
    </xf>
    <xf numFmtId="3" fontId="5" fillId="44" borderId="20" xfId="143" applyNumberFormat="1" applyFont="1" applyFill="1" applyBorder="1" applyAlignment="1">
      <alignment horizontal="center" vertical="center"/>
      <protection/>
    </xf>
    <xf numFmtId="3" fontId="26" fillId="0" borderId="20" xfId="143" applyNumberFormat="1" applyFont="1" applyBorder="1" applyAlignment="1">
      <alignment horizontal="center" vertical="center"/>
      <protection/>
    </xf>
    <xf numFmtId="0" fontId="5" fillId="0" borderId="20" xfId="143" applyFont="1" applyBorder="1" applyAlignment="1">
      <alignment horizontal="center" vertical="center"/>
      <protection/>
    </xf>
    <xf numFmtId="3" fontId="5" fillId="0" borderId="20" xfId="143" applyNumberFormat="1" applyFont="1" applyFill="1" applyBorder="1" applyAlignment="1">
      <alignment horizontal="center" vertical="center"/>
      <protection/>
    </xf>
    <xf numFmtId="3" fontId="26" fillId="0" borderId="20" xfId="143" applyNumberFormat="1" applyFont="1" applyFill="1" applyBorder="1" applyAlignment="1">
      <alignment horizontal="center" vertical="center"/>
      <protection/>
    </xf>
    <xf numFmtId="49" fontId="26" fillId="0" borderId="0" xfId="143" applyNumberFormat="1" applyAlignment="1">
      <alignment horizontal="center"/>
      <protection/>
    </xf>
    <xf numFmtId="49" fontId="72" fillId="0" borderId="0" xfId="143" applyNumberFormat="1" applyFont="1" applyAlignment="1">
      <alignment horizontal="left"/>
      <protection/>
    </xf>
    <xf numFmtId="49" fontId="31" fillId="0" borderId="0" xfId="143" applyNumberFormat="1" applyFont="1" applyAlignment="1">
      <alignment/>
      <protection/>
    </xf>
    <xf numFmtId="49" fontId="3" fillId="47" borderId="0" xfId="143" applyNumberFormat="1" applyFont="1" applyFill="1" applyBorder="1" applyAlignment="1">
      <alignment/>
      <protection/>
    </xf>
    <xf numFmtId="49" fontId="3" fillId="0" borderId="0" xfId="143" applyNumberFormat="1" applyFont="1" applyAlignment="1">
      <alignment/>
      <protection/>
    </xf>
    <xf numFmtId="49" fontId="3" fillId="0" borderId="0" xfId="143" applyNumberFormat="1" applyFont="1" applyBorder="1" applyAlignment="1">
      <alignment/>
      <protection/>
    </xf>
    <xf numFmtId="49" fontId="6" fillId="0" borderId="22" xfId="143" applyNumberFormat="1" applyFont="1" applyBorder="1" applyAlignment="1">
      <alignment/>
      <protection/>
    </xf>
    <xf numFmtId="3" fontId="19" fillId="0" borderId="20" xfId="143" applyNumberFormat="1" applyFont="1" applyBorder="1" applyAlignment="1">
      <alignment horizontal="center" vertical="center"/>
      <protection/>
    </xf>
    <xf numFmtId="49" fontId="26" fillId="47" borderId="0" xfId="143" applyNumberFormat="1" applyFont="1" applyFill="1" applyAlignment="1">
      <alignment vertical="center"/>
      <protection/>
    </xf>
    <xf numFmtId="3" fontId="26" fillId="47" borderId="20" xfId="143" applyNumberFormat="1" applyFont="1" applyFill="1" applyBorder="1" applyAlignment="1">
      <alignment horizontal="center" vertical="center"/>
      <protection/>
    </xf>
    <xf numFmtId="3" fontId="91" fillId="0" borderId="20" xfId="143" applyNumberFormat="1" applyFont="1" applyBorder="1" applyAlignment="1">
      <alignment horizontal="center" vertical="center"/>
      <protection/>
    </xf>
    <xf numFmtId="0" fontId="5" fillId="0" borderId="19" xfId="143" applyFont="1" applyFill="1" applyBorder="1" applyAlignment="1">
      <alignment horizontal="center" vertical="center"/>
      <protection/>
    </xf>
    <xf numFmtId="49" fontId="6" fillId="0" borderId="19" xfId="141" applyNumberFormat="1" applyFont="1" applyFill="1" applyBorder="1" applyAlignment="1">
      <alignment horizontal="left" vertical="center"/>
      <protection/>
    </xf>
    <xf numFmtId="3" fontId="5" fillId="0" borderId="19" xfId="143" applyNumberFormat="1" applyFont="1" applyFill="1" applyBorder="1" applyAlignment="1">
      <alignment horizontal="center" vertical="center"/>
      <protection/>
    </xf>
    <xf numFmtId="3" fontId="19" fillId="0" borderId="19" xfId="143" applyNumberFormat="1" applyFont="1" applyFill="1" applyBorder="1" applyAlignment="1">
      <alignment horizontal="center" vertical="center"/>
      <protection/>
    </xf>
    <xf numFmtId="3" fontId="26" fillId="0" borderId="19" xfId="143" applyNumberFormat="1" applyFont="1" applyFill="1" applyBorder="1" applyAlignment="1">
      <alignment vertical="center"/>
      <protection/>
    </xf>
    <xf numFmtId="3" fontId="92" fillId="0" borderId="19" xfId="143" applyNumberFormat="1" applyFont="1" applyFill="1" applyBorder="1" applyAlignment="1">
      <alignment vertical="center"/>
      <protection/>
    </xf>
    <xf numFmtId="49" fontId="31" fillId="0" borderId="0" xfId="143" applyNumberFormat="1" applyFont="1" applyBorder="1" applyAlignment="1">
      <alignment/>
      <protection/>
    </xf>
    <xf numFmtId="49" fontId="28" fillId="0" borderId="0" xfId="143" applyNumberFormat="1" applyFont="1" applyBorder="1" applyAlignment="1">
      <alignment horizontal="center"/>
      <protection/>
    </xf>
    <xf numFmtId="49" fontId="28" fillId="0" borderId="0" xfId="143" applyNumberFormat="1" applyFont="1" applyAlignment="1">
      <alignment/>
      <protection/>
    </xf>
    <xf numFmtId="0" fontId="5" fillId="47" borderId="0" xfId="143" applyFont="1" applyFill="1" applyBorder="1" applyAlignment="1">
      <alignment/>
      <protection/>
    </xf>
    <xf numFmtId="49" fontId="93" fillId="0" borderId="0" xfId="143" applyNumberFormat="1" applyFont="1">
      <alignment/>
      <protection/>
    </xf>
    <xf numFmtId="49" fontId="94" fillId="0" borderId="0" xfId="143" applyNumberFormat="1" applyFont="1">
      <alignment/>
      <protection/>
    </xf>
    <xf numFmtId="49" fontId="95" fillId="0" borderId="0" xfId="143" applyNumberFormat="1" applyFont="1" applyAlignment="1">
      <alignment horizontal="center"/>
      <protection/>
    </xf>
    <xf numFmtId="49" fontId="25" fillId="47" borderId="0" xfId="141" applyNumberFormat="1" applyFont="1" applyFill="1" applyAlignment="1">
      <alignment/>
      <protection/>
    </xf>
    <xf numFmtId="49" fontId="80" fillId="0" borderId="0" xfId="143" applyNumberFormat="1" applyFont="1">
      <alignment/>
      <protection/>
    </xf>
    <xf numFmtId="49" fontId="31" fillId="0" borderId="0" xfId="143" applyNumberFormat="1" applyFont="1" applyBorder="1" applyAlignment="1">
      <alignment wrapText="1"/>
      <protection/>
    </xf>
    <xf numFmtId="49" fontId="83" fillId="0" borderId="0" xfId="143" applyNumberFormat="1" applyFont="1">
      <alignment/>
      <protection/>
    </xf>
    <xf numFmtId="49" fontId="78" fillId="0" borderId="0" xfId="143" applyNumberFormat="1" applyFont="1">
      <alignment/>
      <protection/>
    </xf>
    <xf numFmtId="49" fontId="14" fillId="0" borderId="0" xfId="143" applyNumberFormat="1" applyFont="1" applyFill="1" applyAlignment="1">
      <alignment wrapText="1"/>
      <protection/>
    </xf>
    <xf numFmtId="49" fontId="0" fillId="0" borderId="0" xfId="143" applyNumberFormat="1" applyFont="1" applyFill="1" applyBorder="1" applyAlignment="1">
      <alignment/>
      <protection/>
    </xf>
    <xf numFmtId="49" fontId="3" fillId="0" borderId="0" xfId="143" applyNumberFormat="1" applyFont="1" applyFill="1" applyBorder="1" applyAlignment="1">
      <alignment/>
      <protection/>
    </xf>
    <xf numFmtId="49" fontId="96" fillId="0" borderId="0" xfId="143" applyNumberFormat="1" applyFont="1" applyFill="1">
      <alignment/>
      <protection/>
    </xf>
    <xf numFmtId="49" fontId="26" fillId="0" borderId="0" xfId="143" applyNumberFormat="1" applyFont="1" applyFill="1" applyAlignment="1">
      <alignment horizontal="center"/>
      <protection/>
    </xf>
    <xf numFmtId="49" fontId="19" fillId="0" borderId="0" xfId="143" applyNumberFormat="1" applyFont="1" applyFill="1" applyBorder="1" applyAlignment="1">
      <alignment/>
      <protection/>
    </xf>
    <xf numFmtId="49" fontId="6" fillId="0" borderId="0" xfId="143" applyNumberFormat="1" applyFont="1" applyFill="1" applyBorder="1" applyAlignment="1">
      <alignment/>
      <protection/>
    </xf>
    <xf numFmtId="49" fontId="82" fillId="0" borderId="0" xfId="143" applyNumberFormat="1" applyFont="1" applyFill="1">
      <alignment/>
      <protection/>
    </xf>
    <xf numFmtId="49" fontId="82" fillId="0" borderId="0" xfId="143" applyNumberFormat="1" applyFont="1" applyFill="1" applyAlignment="1">
      <alignment/>
      <protection/>
    </xf>
    <xf numFmtId="49" fontId="19" fillId="0" borderId="27" xfId="143" applyNumberFormat="1" applyFont="1" applyFill="1" applyBorder="1" applyAlignment="1">
      <alignment horizontal="center" vertical="center"/>
      <protection/>
    </xf>
    <xf numFmtId="3" fontId="6" fillId="44" borderId="27" xfId="143" applyNumberFormat="1" applyFont="1" applyFill="1" applyBorder="1" applyAlignment="1">
      <alignment horizontal="center" vertical="center"/>
      <protection/>
    </xf>
    <xf numFmtId="3" fontId="6" fillId="44" borderId="23" xfId="143" applyNumberFormat="1" applyFont="1" applyFill="1" applyBorder="1" applyAlignment="1">
      <alignment horizontal="center" vertical="center"/>
      <protection/>
    </xf>
    <xf numFmtId="49" fontId="3" fillId="0" borderId="0" xfId="143" applyNumberFormat="1" applyFont="1" applyAlignment="1">
      <alignment horizontal="center"/>
      <protection/>
    </xf>
    <xf numFmtId="49" fontId="25" fillId="0" borderId="0" xfId="143" applyNumberFormat="1" applyFont="1">
      <alignment/>
      <protection/>
    </xf>
    <xf numFmtId="49" fontId="3" fillId="0" borderId="0" xfId="143" applyNumberFormat="1" applyFont="1">
      <alignment/>
      <protection/>
    </xf>
    <xf numFmtId="49" fontId="28" fillId="0" borderId="0" xfId="143" applyNumberFormat="1" applyFont="1">
      <alignment/>
      <protection/>
    </xf>
    <xf numFmtId="3" fontId="3" fillId="47" borderId="0" xfId="143" applyNumberFormat="1" applyFont="1" applyFill="1" applyBorder="1" applyAlignment="1">
      <alignment/>
      <protection/>
    </xf>
    <xf numFmtId="0" fontId="3" fillId="0" borderId="0" xfId="143" applyFont="1">
      <alignment/>
      <protection/>
    </xf>
    <xf numFmtId="0" fontId="4" fillId="0" borderId="0" xfId="143" applyFont="1" applyBorder="1" applyAlignment="1">
      <alignment horizontal="left"/>
      <protection/>
    </xf>
    <xf numFmtId="3" fontId="0" fillId="0" borderId="0" xfId="143" applyNumberFormat="1" applyFont="1" applyAlignment="1">
      <alignment horizontal="left"/>
      <protection/>
    </xf>
    <xf numFmtId="0" fontId="13" fillId="0" borderId="0" xfId="143" applyFont="1" applyBorder="1" applyAlignment="1">
      <alignment/>
      <protection/>
    </xf>
    <xf numFmtId="0" fontId="7" fillId="0" borderId="20" xfId="143" applyFont="1" applyFill="1" applyBorder="1" applyAlignment="1">
      <alignment horizontal="center" vertical="center" wrapText="1"/>
      <protection/>
    </xf>
    <xf numFmtId="0" fontId="3" fillId="0" borderId="0" xfId="143" applyFont="1" applyFill="1" applyBorder="1">
      <alignment/>
      <protection/>
    </xf>
    <xf numFmtId="0" fontId="3" fillId="0" borderId="0" xfId="143" applyFont="1" applyFill="1">
      <alignment/>
      <protection/>
    </xf>
    <xf numFmtId="3" fontId="18" fillId="0" borderId="20" xfId="143" applyNumberFormat="1" applyFont="1" applyBorder="1" applyAlignment="1">
      <alignment horizontal="center" vertical="center"/>
      <protection/>
    </xf>
    <xf numFmtId="0" fontId="0" fillId="0" borderId="0" xfId="143" applyFont="1" applyAlignment="1">
      <alignment horizontal="center" vertical="center"/>
      <protection/>
    </xf>
    <xf numFmtId="3" fontId="4" fillId="44" borderId="20" xfId="143" applyNumberFormat="1" applyFont="1" applyFill="1" applyBorder="1" applyAlignment="1">
      <alignment horizontal="center" vertical="center"/>
      <protection/>
    </xf>
    <xf numFmtId="0" fontId="3" fillId="0" borderId="0" xfId="143" applyFont="1" applyAlignment="1">
      <alignment vertical="center"/>
      <protection/>
    </xf>
    <xf numFmtId="9" fontId="3" fillId="0" borderId="0" xfId="151" applyFont="1" applyAlignment="1">
      <alignment vertical="center"/>
    </xf>
    <xf numFmtId="0" fontId="3" fillId="0" borderId="0" xfId="143" applyFont="1" applyAlignment="1">
      <alignment horizontal="center"/>
      <protection/>
    </xf>
    <xf numFmtId="0" fontId="25" fillId="0" borderId="0" xfId="143" applyFont="1">
      <alignment/>
      <protection/>
    </xf>
    <xf numFmtId="0" fontId="72" fillId="0" borderId="0" xfId="143" applyFont="1" applyAlignment="1">
      <alignment horizontal="center"/>
      <protection/>
    </xf>
    <xf numFmtId="49" fontId="52" fillId="0" borderId="0" xfId="143" applyNumberFormat="1" applyFont="1">
      <alignment/>
      <protection/>
    </xf>
    <xf numFmtId="49" fontId="97" fillId="0" borderId="0" xfId="143" applyNumberFormat="1" applyFont="1" applyBorder="1" applyAlignment="1">
      <alignment wrapText="1"/>
      <protection/>
    </xf>
    <xf numFmtId="0" fontId="31" fillId="0" borderId="0" xfId="143"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0"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0"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0"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0"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40"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40" applyNumberFormat="1" applyFont="1" applyFill="1" applyBorder="1" applyAlignment="1" applyProtection="1">
      <alignment horizontal="center" vertical="center"/>
      <protection/>
    </xf>
    <xf numFmtId="10" fontId="28" fillId="0" borderId="20" xfId="132" applyNumberFormat="1" applyFont="1" applyFill="1" applyBorder="1" applyAlignment="1">
      <alignment horizontal="center" vertical="center"/>
      <protection/>
    </xf>
    <xf numFmtId="10" fontId="52"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2" applyNumberFormat="1" applyFont="1" applyFill="1" applyBorder="1" applyAlignment="1">
      <alignment horizontal="center" vertical="center"/>
      <protection/>
    </xf>
    <xf numFmtId="3" fontId="57" fillId="47" borderId="20" xfId="140"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40" applyNumberFormat="1" applyFont="1" applyFill="1" applyBorder="1" applyAlignment="1" applyProtection="1">
      <alignment horizontal="center" vertical="center"/>
      <protection/>
    </xf>
    <xf numFmtId="10" fontId="57"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0" applyNumberFormat="1" applyFont="1" applyFill="1" applyBorder="1" applyAlignment="1" applyProtection="1">
      <alignment horizontal="center" vertical="center"/>
      <protection/>
    </xf>
    <xf numFmtId="3" fontId="4" fillId="47" borderId="37" xfId="140"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25" fillId="0" borderId="0" xfId="0" applyNumberFormat="1" applyFont="1" applyFill="1" applyAlignment="1">
      <alignment horizontal="center"/>
    </xf>
    <xf numFmtId="0" fontId="28" fillId="0" borderId="0" xfId="0" applyNumberFormat="1" applyFont="1" applyFill="1" applyAlignment="1">
      <alignment/>
    </xf>
    <xf numFmtId="0" fontId="28" fillId="0" borderId="0" xfId="0" applyNumberFormat="1" applyFont="1" applyFill="1" applyAlignment="1">
      <alignment horizontal="left"/>
    </xf>
    <xf numFmtId="0" fontId="25"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13" fillId="0" borderId="0" xfId="0" applyNumberFormat="1" applyFont="1" applyFill="1" applyAlignment="1">
      <alignment horizontal="left"/>
    </xf>
    <xf numFmtId="0" fontId="25" fillId="0" borderId="0" xfId="0" applyNumberFormat="1" applyFont="1" applyFill="1" applyAlignment="1">
      <alignment horizontal="left"/>
    </xf>
    <xf numFmtId="0" fontId="28" fillId="0" borderId="0" xfId="0" applyNumberFormat="1" applyFont="1" applyFill="1" applyAlignment="1">
      <alignment horizontal="left" wrapText="1"/>
    </xf>
    <xf numFmtId="49" fontId="28" fillId="0" borderId="0" xfId="0" applyNumberFormat="1" applyFont="1" applyFill="1" applyAlignment="1">
      <alignment horizontal="left"/>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20" xfId="0" applyNumberFormat="1" applyFont="1" applyFill="1" applyBorder="1" applyAlignment="1">
      <alignment horizontal="left"/>
    </xf>
    <xf numFmtId="49" fontId="30" fillId="0" borderId="38" xfId="0" applyNumberFormat="1" applyFont="1" applyFill="1" applyBorder="1" applyAlignment="1" applyProtection="1">
      <alignment horizontal="left" vertical="center"/>
      <protection/>
    </xf>
    <xf numFmtId="210" fontId="0" fillId="0" borderId="0" xfId="0" applyNumberFormat="1" applyFont="1" applyFill="1" applyAlignment="1">
      <alignment horizontal="left"/>
    </xf>
    <xf numFmtId="210" fontId="0" fillId="0" borderId="0" xfId="0" applyNumberFormat="1" applyFont="1" applyFill="1" applyBorder="1" applyAlignment="1">
      <alignment horizontal="left"/>
    </xf>
    <xf numFmtId="210" fontId="30" fillId="0" borderId="20" xfId="0" applyNumberFormat="1" applyFont="1" applyFill="1" applyBorder="1" applyAlignment="1" applyProtection="1">
      <alignment horizontal="left" vertical="center"/>
      <protection/>
    </xf>
    <xf numFmtId="0" fontId="20" fillId="49" borderId="20" xfId="0" applyFont="1" applyFill="1" applyBorder="1" applyAlignment="1">
      <alignment wrapText="1"/>
    </xf>
    <xf numFmtId="0" fontId="0" fillId="49" borderId="39" xfId="0" applyFill="1" applyBorder="1" applyAlignment="1">
      <alignment/>
    </xf>
    <xf numFmtId="210" fontId="4" fillId="0" borderId="20" xfId="0" applyNumberFormat="1" applyFont="1" applyFill="1" applyBorder="1" applyAlignment="1" applyProtection="1">
      <alignment horizontal="center" vertical="center" wrapText="1"/>
      <protection/>
    </xf>
    <xf numFmtId="210" fontId="4" fillId="0" borderId="20" xfId="0" applyNumberFormat="1" applyFont="1" applyFill="1" applyBorder="1" applyAlignment="1">
      <alignment horizontal="center" vertical="center" wrapText="1"/>
    </xf>
    <xf numFmtId="210" fontId="25" fillId="0" borderId="0" xfId="0" applyNumberFormat="1" applyFont="1" applyFill="1" applyAlignment="1">
      <alignment horizontal="center"/>
    </xf>
    <xf numFmtId="210" fontId="4" fillId="0" borderId="0" xfId="0" applyNumberFormat="1" applyFont="1" applyFill="1" applyAlignment="1">
      <alignment/>
    </xf>
    <xf numFmtId="210" fontId="4" fillId="0" borderId="0" xfId="0" applyNumberFormat="1" applyFont="1" applyFill="1" applyBorder="1" applyAlignment="1">
      <alignment/>
    </xf>
    <xf numFmtId="210" fontId="5" fillId="50" borderId="20" xfId="0" applyNumberFormat="1" applyFont="1" applyFill="1" applyBorder="1" applyAlignment="1" applyProtection="1">
      <alignment horizontal="right" vertical="center"/>
      <protection/>
    </xf>
    <xf numFmtId="210" fontId="104" fillId="50" borderId="20" xfId="0" applyNumberFormat="1" applyFont="1" applyFill="1" applyBorder="1" applyAlignment="1" applyProtection="1">
      <alignment horizontal="left" vertical="center"/>
      <protection/>
    </xf>
    <xf numFmtId="210" fontId="104" fillId="50" borderId="20" xfId="143" applyNumberFormat="1" applyFont="1" applyFill="1" applyBorder="1" applyAlignment="1">
      <alignment horizontal="left"/>
      <protection/>
    </xf>
    <xf numFmtId="210" fontId="104" fillId="51" borderId="20" xfId="0" applyNumberFormat="1" applyFont="1" applyFill="1" applyBorder="1" applyAlignment="1" applyProtection="1">
      <alignment horizontal="left" vertical="center"/>
      <protection/>
    </xf>
    <xf numFmtId="210" fontId="104" fillId="51" borderId="20" xfId="143" applyNumberFormat="1" applyFont="1" applyFill="1" applyBorder="1" applyAlignment="1">
      <alignment horizontal="left"/>
      <protection/>
    </xf>
    <xf numFmtId="49" fontId="0" fillId="51" borderId="0" xfId="0" applyNumberFormat="1" applyFont="1" applyFill="1" applyAlignment="1">
      <alignment horizontal="left"/>
    </xf>
    <xf numFmtId="216" fontId="0" fillId="0" borderId="0" xfId="0" applyNumberFormat="1" applyFont="1" applyFill="1" applyAlignment="1">
      <alignment horizontal="left"/>
    </xf>
    <xf numFmtId="216" fontId="18" fillId="0" borderId="0" xfId="0" applyNumberFormat="1" applyFont="1" applyFill="1" applyAlignment="1">
      <alignment horizontal="left"/>
    </xf>
    <xf numFmtId="216" fontId="104" fillId="50" borderId="20" xfId="0" applyNumberFormat="1" applyFont="1" applyFill="1" applyBorder="1" applyAlignment="1" applyProtection="1">
      <alignment horizontal="left" vertical="center"/>
      <protection/>
    </xf>
    <xf numFmtId="216" fontId="104" fillId="51" borderId="20" xfId="0" applyNumberFormat="1" applyFont="1" applyFill="1" applyBorder="1" applyAlignment="1" applyProtection="1">
      <alignment horizontal="left" vertical="center"/>
      <protection/>
    </xf>
    <xf numFmtId="216" fontId="4" fillId="0" borderId="0" xfId="0" applyNumberFormat="1" applyFont="1" applyFill="1" applyAlignment="1">
      <alignment horizontal="left"/>
    </xf>
    <xf numFmtId="1" fontId="104" fillId="51" borderId="20" xfId="0" applyNumberFormat="1" applyFont="1" applyFill="1" applyBorder="1" applyAlignment="1" applyProtection="1">
      <alignment horizontal="left" vertical="center"/>
      <protection/>
    </xf>
    <xf numFmtId="3" fontId="104" fillId="51" borderId="20" xfId="0" applyNumberFormat="1" applyFont="1" applyFill="1" applyBorder="1" applyAlignment="1" applyProtection="1">
      <alignment horizontal="left" vertical="center"/>
      <protection/>
    </xf>
    <xf numFmtId="210" fontId="104" fillId="51" borderId="20" xfId="0" applyNumberFormat="1" applyFont="1" applyFill="1" applyBorder="1" applyAlignment="1" applyProtection="1">
      <alignment horizontal="left" vertical="top"/>
      <protection/>
    </xf>
    <xf numFmtId="1" fontId="104" fillId="51" borderId="20" xfId="0" applyNumberFormat="1" applyFont="1" applyFill="1" applyBorder="1" applyAlignment="1" applyProtection="1">
      <alignment horizontal="left" vertical="top"/>
      <protection/>
    </xf>
    <xf numFmtId="210" fontId="154" fillId="0" borderId="0" xfId="0" applyNumberFormat="1" applyFont="1" applyFill="1" applyAlignment="1">
      <alignment horizontal="left"/>
    </xf>
    <xf numFmtId="210" fontId="155" fillId="0" borderId="20" xfId="0" applyNumberFormat="1" applyFont="1" applyFill="1" applyBorder="1" applyAlignment="1" applyProtection="1">
      <alignment horizontal="left" vertical="center"/>
      <protection/>
    </xf>
    <xf numFmtId="210" fontId="156" fillId="0" borderId="0" xfId="0" applyNumberFormat="1" applyFont="1" applyFill="1" applyAlignment="1">
      <alignment horizontal="center"/>
    </xf>
    <xf numFmtId="210" fontId="154" fillId="0" borderId="0" xfId="0" applyNumberFormat="1" applyFont="1" applyFill="1" applyBorder="1" applyAlignment="1">
      <alignment horizontal="left"/>
    </xf>
    <xf numFmtId="210" fontId="157" fillId="0" borderId="0" xfId="0" applyNumberFormat="1" applyFont="1" applyFill="1" applyAlignment="1">
      <alignment horizontal="left"/>
    </xf>
    <xf numFmtId="216" fontId="5" fillId="51" borderId="20" xfId="0" applyNumberFormat="1" applyFont="1" applyFill="1" applyBorder="1" applyAlignment="1" applyProtection="1">
      <alignment horizontal="left" vertical="center"/>
      <protection/>
    </xf>
    <xf numFmtId="210" fontId="5" fillId="51" borderId="20" xfId="0" applyNumberFormat="1" applyFont="1" applyFill="1" applyBorder="1" applyAlignment="1" applyProtection="1">
      <alignment horizontal="left" vertical="center"/>
      <protection/>
    </xf>
    <xf numFmtId="216" fontId="5" fillId="50" borderId="20" xfId="0" applyNumberFormat="1" applyFont="1" applyFill="1" applyBorder="1" applyAlignment="1" applyProtection="1">
      <alignment horizontal="left" vertical="center"/>
      <protection/>
    </xf>
    <xf numFmtId="210" fontId="5" fillId="50" borderId="20" xfId="0" applyNumberFormat="1" applyFont="1" applyFill="1" applyBorder="1" applyAlignment="1" applyProtection="1">
      <alignment horizontal="left" vertical="center"/>
      <protection/>
    </xf>
    <xf numFmtId="3" fontId="5" fillId="51" borderId="20" xfId="0" applyNumberFormat="1" applyFont="1" applyFill="1" applyBorder="1" applyAlignment="1" applyProtection="1">
      <alignment horizontal="left" vertical="center"/>
      <protection/>
    </xf>
    <xf numFmtId="210" fontId="5" fillId="51" borderId="20" xfId="143" applyNumberFormat="1" applyFont="1" applyFill="1" applyBorder="1" applyAlignment="1">
      <alignment horizontal="left"/>
      <protection/>
    </xf>
    <xf numFmtId="1" fontId="5" fillId="51" borderId="20" xfId="0" applyNumberFormat="1" applyFont="1" applyFill="1" applyBorder="1" applyAlignment="1" applyProtection="1">
      <alignment horizontal="left" vertical="center"/>
      <protection/>
    </xf>
    <xf numFmtId="1" fontId="5" fillId="51" borderId="20" xfId="0" applyNumberFormat="1" applyFont="1" applyFill="1" applyBorder="1" applyAlignment="1" applyProtection="1">
      <alignment horizontal="left" vertical="top"/>
      <protection/>
    </xf>
    <xf numFmtId="210" fontId="5" fillId="51" borderId="20" xfId="0" applyNumberFormat="1" applyFont="1" applyFill="1" applyBorder="1" applyAlignment="1" applyProtection="1">
      <alignment horizontal="left" vertical="top"/>
      <protection/>
    </xf>
    <xf numFmtId="49" fontId="4" fillId="51" borderId="0" xfId="0" applyNumberFormat="1" applyFont="1" applyFill="1" applyAlignment="1">
      <alignment/>
    </xf>
    <xf numFmtId="215" fontId="4" fillId="51" borderId="0" xfId="0" applyNumberFormat="1" applyFont="1" applyFill="1" applyAlignment="1">
      <alignment/>
    </xf>
    <xf numFmtId="216" fontId="104" fillId="51" borderId="20" xfId="0" applyNumberFormat="1" applyFont="1" applyFill="1" applyBorder="1" applyAlignment="1" applyProtection="1">
      <alignment horizontal="center" vertical="center"/>
      <protection/>
    </xf>
    <xf numFmtId="210" fontId="104" fillId="51" borderId="20" xfId="0" applyNumberFormat="1" applyFont="1" applyFill="1" applyBorder="1" applyAlignment="1" applyProtection="1">
      <alignment horizontal="center" vertical="center"/>
      <protection/>
    </xf>
    <xf numFmtId="49" fontId="158" fillId="0" borderId="0" xfId="0" applyNumberFormat="1" applyFont="1" applyFill="1" applyAlignment="1">
      <alignment/>
    </xf>
    <xf numFmtId="49" fontId="158" fillId="0" borderId="0" xfId="0" applyNumberFormat="1" applyFont="1" applyFill="1" applyAlignment="1">
      <alignment/>
    </xf>
    <xf numFmtId="49" fontId="159" fillId="0" borderId="20" xfId="0" applyNumberFormat="1" applyFont="1" applyFill="1" applyBorder="1" applyAlignment="1" applyProtection="1">
      <alignment horizontal="center" vertical="center"/>
      <protection/>
    </xf>
    <xf numFmtId="210" fontId="160" fillId="51" borderId="20" xfId="0" applyNumberFormat="1" applyFont="1" applyFill="1" applyBorder="1" applyAlignment="1" applyProtection="1">
      <alignment horizontal="right" vertical="center"/>
      <protection/>
    </xf>
    <xf numFmtId="3" fontId="160" fillId="51" borderId="20" xfId="0" applyNumberFormat="1" applyFont="1" applyFill="1" applyBorder="1" applyAlignment="1" applyProtection="1">
      <alignment horizontal="right" vertical="center"/>
      <protection/>
    </xf>
    <xf numFmtId="3" fontId="160" fillId="50" borderId="20" xfId="0" applyNumberFormat="1" applyFont="1" applyFill="1" applyBorder="1" applyAlignment="1" applyProtection="1">
      <alignment horizontal="right" vertical="center"/>
      <protection/>
    </xf>
    <xf numFmtId="0" fontId="161" fillId="0" borderId="0" xfId="0" applyNumberFormat="1" applyFont="1" applyFill="1" applyAlignment="1">
      <alignment/>
    </xf>
    <xf numFmtId="0" fontId="161" fillId="0" borderId="0" xfId="0" applyNumberFormat="1" applyFont="1" applyFill="1" applyAlignment="1">
      <alignment wrapText="1"/>
    </xf>
    <xf numFmtId="49" fontId="161" fillId="0" borderId="0" xfId="0" applyNumberFormat="1" applyFont="1" applyFill="1" applyAlignment="1">
      <alignment/>
    </xf>
    <xf numFmtId="0" fontId="161" fillId="0" borderId="0" xfId="0" applyNumberFormat="1" applyFont="1" applyFill="1" applyAlignment="1">
      <alignment/>
    </xf>
    <xf numFmtId="210" fontId="5" fillId="51" borderId="20" xfId="152" applyNumberFormat="1" applyFont="1" applyFill="1" applyBorder="1" applyAlignment="1">
      <alignment horizontal="right"/>
    </xf>
    <xf numFmtId="210" fontId="5" fillId="50" borderId="20" xfId="152" applyNumberFormat="1" applyFont="1" applyFill="1" applyBorder="1" applyAlignment="1">
      <alignment horizontal="right"/>
    </xf>
    <xf numFmtId="211" fontId="160" fillId="51" borderId="20" xfId="0" applyNumberFormat="1" applyFont="1" applyFill="1" applyBorder="1" applyAlignment="1" applyProtection="1">
      <alignment horizontal="right" vertical="center"/>
      <protection/>
    </xf>
    <xf numFmtId="1" fontId="160" fillId="51" borderId="20" xfId="0" applyNumberFormat="1" applyFont="1" applyFill="1" applyBorder="1" applyAlignment="1" applyProtection="1">
      <alignment horizontal="right" vertical="center"/>
      <protection/>
    </xf>
    <xf numFmtId="1" fontId="5" fillId="51" borderId="20" xfId="0" applyNumberFormat="1" applyFont="1" applyFill="1" applyBorder="1" applyAlignment="1" applyProtection="1">
      <alignment horizontal="right" vertical="center"/>
      <protection/>
    </xf>
    <xf numFmtId="3" fontId="160" fillId="51" borderId="20" xfId="144" applyNumberFormat="1" applyFont="1" applyFill="1" applyBorder="1" applyAlignment="1" applyProtection="1">
      <alignment horizontal="right" vertical="center"/>
      <protection/>
    </xf>
    <xf numFmtId="194" fontId="160" fillId="51" borderId="20" xfId="95" applyNumberFormat="1" applyFont="1" applyFill="1" applyBorder="1" applyAlignment="1" applyProtection="1">
      <alignment horizontal="right"/>
      <protection locked="0"/>
    </xf>
    <xf numFmtId="194" fontId="5" fillId="51" borderId="20" xfId="95" applyNumberFormat="1" applyFont="1" applyFill="1" applyBorder="1" applyAlignment="1" applyProtection="1">
      <alignment horizontal="right"/>
      <protection locked="0"/>
    </xf>
    <xf numFmtId="194" fontId="160" fillId="51" borderId="20" xfId="0" applyNumberFormat="1" applyFont="1" applyFill="1" applyBorder="1" applyAlignment="1" applyProtection="1">
      <alignment horizontal="right" vertical="center" shrinkToFit="1"/>
      <protection/>
    </xf>
    <xf numFmtId="194" fontId="5" fillId="51" borderId="20" xfId="0" applyNumberFormat="1" applyFont="1" applyFill="1" applyBorder="1" applyAlignment="1" applyProtection="1">
      <alignment horizontal="right" vertical="center" shrinkToFit="1"/>
      <protection/>
    </xf>
    <xf numFmtId="211" fontId="160" fillId="51" borderId="20" xfId="144" applyNumberFormat="1" applyFont="1" applyFill="1" applyBorder="1" applyAlignment="1" applyProtection="1">
      <alignment horizontal="right"/>
      <protection/>
    </xf>
    <xf numFmtId="3" fontId="5" fillId="51" borderId="20" xfId="0" applyNumberFormat="1" applyFont="1" applyFill="1" applyBorder="1" applyAlignment="1" applyProtection="1">
      <alignment horizontal="right" vertical="center"/>
      <protection/>
    </xf>
    <xf numFmtId="211" fontId="5" fillId="51" borderId="20" xfId="0" applyNumberFormat="1" applyFont="1" applyFill="1" applyBorder="1" applyAlignment="1" applyProtection="1">
      <alignment horizontal="right" vertical="center"/>
      <protection/>
    </xf>
    <xf numFmtId="49" fontId="158" fillId="0" borderId="0" xfId="0" applyNumberFormat="1" applyFont="1" applyFill="1" applyBorder="1" applyAlignment="1">
      <alignment/>
    </xf>
    <xf numFmtId="49" fontId="159" fillId="0" borderId="0" xfId="0" applyNumberFormat="1" applyFont="1" applyFill="1" applyBorder="1" applyAlignment="1">
      <alignment horizontal="center"/>
    </xf>
    <xf numFmtId="49" fontId="159" fillId="0" borderId="0" xfId="0" applyNumberFormat="1" applyFont="1" applyFill="1" applyBorder="1" applyAlignment="1">
      <alignment/>
    </xf>
    <xf numFmtId="3" fontId="160" fillId="51" borderId="20" xfId="0" applyNumberFormat="1" applyFont="1" applyFill="1" applyBorder="1" applyAlignment="1">
      <alignment horizontal="right"/>
    </xf>
    <xf numFmtId="3" fontId="160" fillId="50" borderId="20" xfId="0" applyNumberFormat="1" applyFont="1" applyFill="1" applyBorder="1" applyAlignment="1">
      <alignment horizontal="right"/>
    </xf>
    <xf numFmtId="1" fontId="160" fillId="51" borderId="20" xfId="0" applyNumberFormat="1" applyFont="1" applyFill="1" applyBorder="1" applyAlignment="1">
      <alignment horizontal="right"/>
    </xf>
    <xf numFmtId="0" fontId="28" fillId="0" borderId="19" xfId="0" applyNumberFormat="1" applyFont="1" applyFill="1" applyBorder="1" applyAlignment="1">
      <alignment/>
    </xf>
    <xf numFmtId="194" fontId="160" fillId="51" borderId="20" xfId="95" applyNumberFormat="1" applyFont="1" applyFill="1" applyBorder="1" applyAlignment="1" applyProtection="1">
      <alignment/>
      <protection locked="0"/>
    </xf>
    <xf numFmtId="210" fontId="162" fillId="51" borderId="20" xfId="0" applyNumberFormat="1" applyFont="1" applyFill="1" applyBorder="1" applyAlignment="1" applyProtection="1">
      <alignment vertical="center"/>
      <protection/>
    </xf>
    <xf numFmtId="210" fontId="104" fillId="51" borderId="20" xfId="0" applyNumberFormat="1" applyFont="1" applyFill="1" applyBorder="1" applyAlignment="1" applyProtection="1">
      <alignment vertical="center"/>
      <protection/>
    </xf>
    <xf numFmtId="210" fontId="104" fillId="51" borderId="20" xfId="0" applyNumberFormat="1" applyFont="1" applyFill="1" applyBorder="1" applyAlignment="1">
      <alignment/>
    </xf>
    <xf numFmtId="210" fontId="162" fillId="50" borderId="20" xfId="152" applyNumberFormat="1" applyFont="1" applyFill="1" applyBorder="1" applyAlignment="1">
      <alignment/>
    </xf>
    <xf numFmtId="210" fontId="104" fillId="50" borderId="20" xfId="0" applyNumberFormat="1" applyFont="1" applyFill="1" applyBorder="1" applyAlignment="1">
      <alignment/>
    </xf>
    <xf numFmtId="210" fontId="162" fillId="51" borderId="20" xfId="95" applyNumberFormat="1" applyFont="1" applyFill="1" applyBorder="1" applyAlignment="1" applyProtection="1">
      <alignment vertical="center"/>
      <protection/>
    </xf>
    <xf numFmtId="210" fontId="104" fillId="51" borderId="20" xfId="95" applyNumberFormat="1" applyFont="1" applyFill="1" applyBorder="1" applyAlignment="1" applyProtection="1">
      <alignment vertical="center"/>
      <protection/>
    </xf>
    <xf numFmtId="210" fontId="162" fillId="50" borderId="20" xfId="0" applyNumberFormat="1" applyFont="1" applyFill="1" applyBorder="1" applyAlignment="1" applyProtection="1">
      <alignment vertical="center"/>
      <protection/>
    </xf>
    <xf numFmtId="210" fontId="104" fillId="50" borderId="20" xfId="0" applyNumberFormat="1" applyFont="1" applyFill="1" applyBorder="1" applyAlignment="1" applyProtection="1">
      <alignment vertical="center"/>
      <protection/>
    </xf>
    <xf numFmtId="210" fontId="104" fillId="50" borderId="20" xfId="152" applyNumberFormat="1" applyFont="1" applyFill="1" applyBorder="1" applyAlignment="1" applyProtection="1">
      <alignment vertical="center"/>
      <protection/>
    </xf>
    <xf numFmtId="210" fontId="162" fillId="50" borderId="20" xfId="0" applyNumberFormat="1" applyFont="1" applyFill="1" applyBorder="1" applyAlignment="1">
      <alignment/>
    </xf>
    <xf numFmtId="210" fontId="162" fillId="51" borderId="20" xfId="0" applyNumberFormat="1" applyFont="1" applyFill="1" applyBorder="1" applyAlignment="1" applyProtection="1">
      <alignment vertical="center" shrinkToFit="1"/>
      <protection/>
    </xf>
    <xf numFmtId="210" fontId="104" fillId="51" borderId="20" xfId="0" applyNumberFormat="1" applyFont="1" applyFill="1" applyBorder="1" applyAlignment="1" applyProtection="1">
      <alignment vertical="center" shrinkToFit="1"/>
      <protection/>
    </xf>
    <xf numFmtId="210" fontId="162" fillId="51" borderId="20" xfId="144" applyNumberFormat="1" applyFont="1" applyFill="1" applyBorder="1" applyAlignment="1" applyProtection="1">
      <alignment/>
      <protection/>
    </xf>
    <xf numFmtId="210" fontId="162" fillId="51" borderId="20" xfId="144" applyNumberFormat="1" applyFont="1" applyFill="1" applyBorder="1" applyAlignment="1" applyProtection="1">
      <alignment vertical="center"/>
      <protection/>
    </xf>
    <xf numFmtId="210" fontId="162" fillId="51" borderId="20" xfId="140" applyNumberFormat="1" applyFont="1" applyFill="1" applyBorder="1" applyAlignment="1" applyProtection="1">
      <alignment vertical="center"/>
      <protection locked="0"/>
    </xf>
    <xf numFmtId="210" fontId="104" fillId="51" borderId="20" xfId="140" applyNumberFormat="1" applyFont="1" applyFill="1" applyBorder="1" applyAlignment="1" applyProtection="1">
      <alignment vertical="center"/>
      <protection locked="0"/>
    </xf>
    <xf numFmtId="210" fontId="104" fillId="51" borderId="20" xfId="144" applyNumberFormat="1" applyFont="1" applyFill="1" applyBorder="1" applyAlignment="1" applyProtection="1">
      <alignment vertical="center"/>
      <protection/>
    </xf>
    <xf numFmtId="210" fontId="104" fillId="51" borderId="20" xfId="144" applyNumberFormat="1" applyFont="1" applyFill="1" applyBorder="1" applyAlignment="1" applyProtection="1">
      <alignment/>
      <protection/>
    </xf>
    <xf numFmtId="210" fontId="104" fillId="50" borderId="0" xfId="0" applyNumberFormat="1" applyFont="1" applyFill="1" applyAlignment="1">
      <alignment horizontal="right"/>
    </xf>
    <xf numFmtId="49" fontId="0" fillId="50" borderId="0" xfId="0" applyNumberFormat="1" applyFont="1" applyFill="1" applyAlignment="1">
      <alignment horizontal="left"/>
    </xf>
    <xf numFmtId="210" fontId="104" fillId="50" borderId="20" xfId="0" applyNumberFormat="1" applyFont="1" applyFill="1" applyBorder="1" applyAlignment="1">
      <alignment vertical="center"/>
    </xf>
    <xf numFmtId="210" fontId="104" fillId="50" borderId="20" xfId="95" applyNumberFormat="1" applyFont="1" applyFill="1" applyBorder="1" applyAlignment="1">
      <alignment/>
    </xf>
    <xf numFmtId="210" fontId="104" fillId="50" borderId="20" xfId="144" applyNumberFormat="1" applyFont="1" applyFill="1" applyBorder="1" applyAlignment="1" applyProtection="1">
      <alignment horizontal="left" vertical="center"/>
      <protection/>
    </xf>
    <xf numFmtId="1" fontId="104" fillId="50" borderId="20" xfId="0" applyNumberFormat="1" applyFont="1" applyFill="1" applyBorder="1" applyAlignment="1" applyProtection="1">
      <alignment vertical="center"/>
      <protection/>
    </xf>
    <xf numFmtId="1" fontId="104" fillId="50" borderId="20" xfId="151" applyNumberFormat="1" applyFont="1" applyFill="1" applyBorder="1" applyAlignment="1" applyProtection="1">
      <alignment vertical="center"/>
      <protection/>
    </xf>
    <xf numFmtId="194" fontId="104" fillId="50" borderId="20" xfId="93" applyNumberFormat="1" applyFont="1" applyFill="1" applyBorder="1" applyAlignment="1" applyProtection="1">
      <alignment vertical="center"/>
      <protection/>
    </xf>
    <xf numFmtId="210" fontId="104" fillId="50" borderId="20" xfId="0" applyNumberFormat="1" applyFont="1" applyFill="1" applyBorder="1" applyAlignment="1" applyProtection="1">
      <alignment horizontal="left" vertical="center" wrapText="1" shrinkToFit="1"/>
      <protection locked="0"/>
    </xf>
    <xf numFmtId="194" fontId="104" fillId="50" borderId="20" xfId="0" applyNumberFormat="1" applyFont="1" applyFill="1" applyBorder="1" applyAlignment="1" applyProtection="1">
      <alignment vertical="center" shrinkToFit="1"/>
      <protection/>
    </xf>
    <xf numFmtId="194" fontId="104" fillId="50" borderId="20" xfId="0" applyNumberFormat="1" applyFont="1" applyFill="1" applyBorder="1" applyAlignment="1" applyProtection="1">
      <alignment vertical="center" shrinkToFit="1"/>
      <protection locked="0"/>
    </xf>
    <xf numFmtId="194" fontId="104" fillId="50" borderId="20" xfId="0" applyNumberFormat="1" applyFont="1" applyFill="1" applyBorder="1" applyAlignment="1">
      <alignment vertical="center" shrinkToFit="1"/>
    </xf>
    <xf numFmtId="194" fontId="104" fillId="50" borderId="20" xfId="151" applyNumberFormat="1" applyFont="1" applyFill="1" applyBorder="1" applyAlignment="1" applyProtection="1">
      <alignment vertical="center" shrinkToFit="1"/>
      <protection/>
    </xf>
    <xf numFmtId="194" fontId="104" fillId="50" borderId="20" xfId="93" applyNumberFormat="1" applyFont="1" applyFill="1" applyBorder="1" applyAlignment="1">
      <alignment vertical="center"/>
    </xf>
    <xf numFmtId="3" fontId="104" fillId="50" borderId="20" xfId="0" applyNumberFormat="1" applyFont="1" applyFill="1" applyBorder="1" applyAlignment="1" applyProtection="1">
      <alignment vertical="center"/>
      <protection/>
    </xf>
    <xf numFmtId="3" fontId="104" fillId="50" borderId="20" xfId="151" applyNumberFormat="1" applyFont="1" applyFill="1" applyBorder="1" applyAlignment="1" applyProtection="1">
      <alignment vertical="center"/>
      <protection/>
    </xf>
    <xf numFmtId="3" fontId="104" fillId="50" borderId="20" xfId="140" applyNumberFormat="1" applyFont="1" applyFill="1" applyBorder="1" applyAlignment="1" applyProtection="1">
      <alignment vertical="center"/>
      <protection locked="0"/>
    </xf>
    <xf numFmtId="210" fontId="104" fillId="50" borderId="20" xfId="0" applyNumberFormat="1" applyFont="1" applyFill="1" applyBorder="1" applyAlignment="1" applyProtection="1">
      <alignment/>
      <protection/>
    </xf>
    <xf numFmtId="210" fontId="104" fillId="50" borderId="20" xfId="151" applyNumberFormat="1" applyFont="1" applyFill="1" applyBorder="1" applyAlignment="1" applyProtection="1">
      <alignment/>
      <protection/>
    </xf>
    <xf numFmtId="210" fontId="104" fillId="50" borderId="20" xfId="144" applyNumberFormat="1" applyFont="1" applyFill="1" applyBorder="1" applyAlignment="1" applyProtection="1">
      <alignment vertical="center"/>
      <protection/>
    </xf>
    <xf numFmtId="3" fontId="104" fillId="50" borderId="20" xfId="144" applyNumberFormat="1" applyFont="1" applyFill="1" applyBorder="1" applyAlignment="1" applyProtection="1">
      <alignment vertical="center"/>
      <protection/>
    </xf>
    <xf numFmtId="3" fontId="104" fillId="50" borderId="21" xfId="144" applyNumberFormat="1" applyFont="1" applyFill="1" applyBorder="1" applyAlignment="1" applyProtection="1">
      <alignment vertical="center"/>
      <protection/>
    </xf>
    <xf numFmtId="3" fontId="104" fillId="50" borderId="20" xfId="135" applyNumberFormat="1" applyFont="1" applyFill="1" applyBorder="1" applyAlignment="1" applyProtection="1">
      <alignment vertical="center"/>
      <protection/>
    </xf>
    <xf numFmtId="3" fontId="104" fillId="50" borderId="20" xfId="152" applyNumberFormat="1" applyFont="1" applyFill="1" applyBorder="1" applyAlignment="1" applyProtection="1">
      <alignment vertical="center"/>
      <protection/>
    </xf>
    <xf numFmtId="210" fontId="104" fillId="50" borderId="20" xfId="0" applyNumberFormat="1" applyFont="1" applyFill="1" applyBorder="1" applyAlignment="1" applyProtection="1">
      <alignment horizontal="left" vertical="center" wrapText="1"/>
      <protection/>
    </xf>
    <xf numFmtId="210" fontId="104" fillId="50" borderId="0" xfId="0" applyNumberFormat="1" applyFont="1" applyFill="1" applyAlignment="1">
      <alignment horizontal="left" vertical="center" wrapText="1"/>
    </xf>
    <xf numFmtId="210" fontId="104" fillId="50" borderId="21" xfId="0" applyNumberFormat="1" applyFont="1" applyFill="1" applyBorder="1" applyAlignment="1" applyProtection="1">
      <alignment horizontal="left" vertical="center" wrapText="1"/>
      <protection/>
    </xf>
    <xf numFmtId="3" fontId="104" fillId="50" borderId="26" xfId="151" applyNumberFormat="1" applyFont="1" applyFill="1" applyBorder="1" applyAlignment="1" applyProtection="1">
      <alignment vertical="center"/>
      <protection/>
    </xf>
    <xf numFmtId="49" fontId="104" fillId="50" borderId="20" xfId="0" applyNumberFormat="1" applyFont="1" applyFill="1" applyBorder="1" applyAlignment="1" applyProtection="1">
      <alignment vertical="center"/>
      <protection/>
    </xf>
    <xf numFmtId="210" fontId="104" fillId="50" borderId="20" xfId="151" applyNumberFormat="1" applyFont="1" applyFill="1" applyBorder="1" applyAlignment="1" applyProtection="1">
      <alignment vertical="center"/>
      <protection/>
    </xf>
    <xf numFmtId="49" fontId="1" fillId="50" borderId="0" xfId="0" applyNumberFormat="1" applyFont="1" applyFill="1" applyBorder="1" applyAlignment="1">
      <alignment horizontal="left"/>
    </xf>
    <xf numFmtId="210" fontId="0" fillId="51" borderId="0" xfId="0" applyNumberFormat="1" applyFont="1" applyFill="1" applyAlignment="1">
      <alignment horizontal="left"/>
    </xf>
    <xf numFmtId="210" fontId="160" fillId="50" borderId="20" xfId="0" applyNumberFormat="1" applyFont="1" applyFill="1" applyBorder="1" applyAlignment="1" applyProtection="1">
      <alignment horizontal="right" vertical="center"/>
      <protection/>
    </xf>
    <xf numFmtId="215" fontId="4" fillId="50" borderId="0" xfId="0" applyNumberFormat="1" applyFont="1" applyFill="1" applyAlignment="1">
      <alignment/>
    </xf>
    <xf numFmtId="49" fontId="4" fillId="50" borderId="0" xfId="0" applyNumberFormat="1" applyFont="1" applyFill="1" applyAlignment="1">
      <alignment/>
    </xf>
    <xf numFmtId="3" fontId="5" fillId="50" borderId="20" xfId="0" applyNumberFormat="1" applyFont="1" applyFill="1" applyBorder="1" applyAlignment="1" applyProtection="1">
      <alignment horizontal="right" vertical="center"/>
      <protection/>
    </xf>
    <xf numFmtId="3" fontId="29" fillId="50" borderId="20" xfId="0" applyNumberFormat="1" applyFont="1" applyFill="1" applyBorder="1" applyAlignment="1" applyProtection="1">
      <alignment vertical="center"/>
      <protection/>
    </xf>
    <xf numFmtId="210" fontId="5" fillId="50" borderId="20" xfId="0" applyNumberFormat="1" applyFont="1" applyFill="1" applyBorder="1" applyAlignment="1">
      <alignment/>
    </xf>
    <xf numFmtId="210" fontId="29" fillId="50" borderId="20" xfId="0" applyNumberFormat="1" applyFont="1" applyFill="1" applyBorder="1" applyAlignment="1" applyProtection="1">
      <alignment vertical="center"/>
      <protection/>
    </xf>
    <xf numFmtId="210" fontId="29" fillId="50" borderId="20" xfId="152" applyNumberFormat="1" applyFont="1" applyFill="1" applyBorder="1" applyAlignment="1" applyProtection="1">
      <alignment vertical="center"/>
      <protection/>
    </xf>
    <xf numFmtId="210" fontId="5" fillId="50" borderId="20" xfId="0" applyNumberFormat="1" applyFont="1" applyFill="1" applyBorder="1" applyAlignment="1">
      <alignment vertical="center"/>
    </xf>
    <xf numFmtId="210" fontId="5" fillId="50" borderId="20" xfId="0" applyNumberFormat="1" applyFont="1" applyFill="1" applyBorder="1" applyAlignment="1" applyProtection="1">
      <alignment vertical="center"/>
      <protection/>
    </xf>
    <xf numFmtId="210" fontId="5" fillId="50" borderId="20" xfId="152" applyNumberFormat="1" applyFont="1" applyFill="1" applyBorder="1" applyAlignment="1" applyProtection="1">
      <alignment vertical="center"/>
      <protection/>
    </xf>
    <xf numFmtId="210" fontId="29" fillId="50" borderId="20" xfId="0" applyNumberFormat="1" applyFont="1" applyFill="1" applyBorder="1" applyAlignment="1">
      <alignment/>
    </xf>
    <xf numFmtId="210" fontId="5" fillId="50" borderId="20" xfId="95" applyNumberFormat="1" applyFont="1" applyFill="1" applyBorder="1" applyAlignment="1">
      <alignment/>
    </xf>
    <xf numFmtId="0" fontId="5" fillId="50" borderId="20" xfId="143" applyFont="1" applyFill="1" applyBorder="1" applyAlignment="1">
      <alignment wrapText="1"/>
      <protection/>
    </xf>
    <xf numFmtId="0" fontId="5" fillId="50" borderId="20" xfId="143" applyNumberFormat="1" applyFont="1" applyFill="1" applyBorder="1" applyAlignment="1">
      <alignment/>
      <protection/>
    </xf>
    <xf numFmtId="210" fontId="5" fillId="50" borderId="20" xfId="143" applyNumberFormat="1" applyFont="1" applyFill="1" applyBorder="1" applyAlignment="1">
      <alignment horizontal="left"/>
      <protection/>
    </xf>
    <xf numFmtId="211" fontId="5" fillId="50" borderId="20" xfId="0" applyNumberFormat="1" applyFont="1" applyFill="1" applyBorder="1" applyAlignment="1" applyProtection="1">
      <alignment horizontal="right" vertical="center"/>
      <protection/>
    </xf>
    <xf numFmtId="210" fontId="5" fillId="50" borderId="20" xfId="144" applyNumberFormat="1" applyFont="1" applyFill="1" applyBorder="1" applyAlignment="1" applyProtection="1">
      <alignment horizontal="left" vertical="center"/>
      <protection/>
    </xf>
    <xf numFmtId="211" fontId="109" fillId="50" borderId="20" xfId="0" applyNumberFormat="1" applyFont="1" applyFill="1" applyBorder="1" applyAlignment="1" applyProtection="1">
      <alignment horizontal="right" vertical="center"/>
      <protection/>
    </xf>
    <xf numFmtId="211" fontId="106" fillId="50" borderId="20" xfId="0" applyNumberFormat="1" applyFont="1" applyFill="1" applyBorder="1" applyAlignment="1" applyProtection="1">
      <alignment horizontal="right" vertical="center"/>
      <protection/>
    </xf>
    <xf numFmtId="211" fontId="105" fillId="50" borderId="20" xfId="0" applyNumberFormat="1" applyFont="1" applyFill="1" applyBorder="1" applyAlignment="1" applyProtection="1">
      <alignment horizontal="right" vertical="center"/>
      <protection/>
    </xf>
    <xf numFmtId="1" fontId="160" fillId="50" borderId="20" xfId="0" applyNumberFormat="1" applyFont="1" applyFill="1" applyBorder="1" applyAlignment="1" applyProtection="1">
      <alignment horizontal="right" vertical="center"/>
      <protection/>
    </xf>
    <xf numFmtId="1" fontId="0" fillId="50" borderId="20" xfId="0" applyNumberFormat="1" applyFill="1" applyBorder="1" applyAlignment="1" applyProtection="1">
      <alignment horizontal="right" vertical="center"/>
      <protection/>
    </xf>
    <xf numFmtId="1" fontId="0" fillId="50" borderId="20" xfId="0" applyNumberFormat="1" applyFont="1" applyFill="1" applyBorder="1" applyAlignment="1" applyProtection="1">
      <alignment horizontal="right" vertical="center"/>
      <protection/>
    </xf>
    <xf numFmtId="1" fontId="0" fillId="50" borderId="20" xfId="151" applyNumberFormat="1" applyFont="1" applyFill="1" applyBorder="1" applyAlignment="1" applyProtection="1">
      <alignment horizontal="right" vertical="center"/>
      <protection/>
    </xf>
    <xf numFmtId="1" fontId="0" fillId="50" borderId="20" xfId="0" applyNumberFormat="1" applyFont="1" applyFill="1" applyBorder="1" applyAlignment="1">
      <alignment horizontal="right"/>
    </xf>
    <xf numFmtId="1" fontId="0" fillId="50" borderId="20" xfId="0" applyNumberFormat="1" applyFont="1" applyFill="1" applyBorder="1" applyAlignment="1" applyProtection="1">
      <alignment horizontal="center" vertical="center"/>
      <protection/>
    </xf>
    <xf numFmtId="1" fontId="0" fillId="50" borderId="20" xfId="151" applyNumberFormat="1" applyFont="1" applyFill="1" applyBorder="1" applyAlignment="1" applyProtection="1">
      <alignment horizontal="center" vertical="center"/>
      <protection/>
    </xf>
    <xf numFmtId="1" fontId="0" fillId="50" borderId="20" xfId="0" applyNumberFormat="1" applyFont="1" applyFill="1" applyBorder="1" applyAlignment="1">
      <alignment horizontal="center"/>
    </xf>
    <xf numFmtId="1" fontId="0" fillId="50" borderId="20" xfId="151" applyNumberFormat="1" applyFont="1" applyFill="1" applyBorder="1" applyAlignment="1" applyProtection="1">
      <alignment horizontal="left" vertical="center"/>
      <protection/>
    </xf>
    <xf numFmtId="3" fontId="5" fillId="50" borderId="20" xfId="152" applyNumberFormat="1" applyFont="1" applyFill="1" applyBorder="1" applyAlignment="1" applyProtection="1">
      <alignment horizontal="right" vertical="center"/>
      <protection/>
    </xf>
    <xf numFmtId="3" fontId="5" fillId="50" borderId="20" xfId="0" applyNumberFormat="1" applyFont="1" applyFill="1" applyBorder="1" applyAlignment="1">
      <alignment horizontal="right"/>
    </xf>
    <xf numFmtId="210" fontId="5" fillId="50" borderId="20" xfId="0" applyNumberFormat="1" applyFont="1" applyFill="1" applyBorder="1" applyAlignment="1" applyProtection="1">
      <alignment horizontal="left" vertical="center" wrapText="1" shrinkToFit="1"/>
      <protection locked="0"/>
    </xf>
    <xf numFmtId="194" fontId="76" fillId="50" borderId="20" xfId="0" applyNumberFormat="1" applyFont="1" applyFill="1" applyBorder="1" applyAlignment="1" applyProtection="1">
      <alignment horizontal="right" vertical="center" shrinkToFit="1"/>
      <protection/>
    </xf>
    <xf numFmtId="194" fontId="110" fillId="50" borderId="20" xfId="0" applyNumberFormat="1" applyFont="1" applyFill="1" applyBorder="1" applyAlignment="1" applyProtection="1">
      <alignment horizontal="right" vertical="center" shrinkToFit="1"/>
      <protection/>
    </xf>
    <xf numFmtId="194" fontId="24" fillId="50" borderId="20" xfId="0" applyNumberFormat="1" applyFont="1" applyFill="1" applyBorder="1" applyAlignment="1" applyProtection="1">
      <alignment horizontal="right" vertical="center" shrinkToFit="1"/>
      <protection/>
    </xf>
    <xf numFmtId="194" fontId="111" fillId="50" borderId="20" xfId="0" applyNumberFormat="1" applyFont="1" applyFill="1" applyBorder="1" applyAlignment="1" applyProtection="1">
      <alignment horizontal="right" vertical="center" shrinkToFit="1"/>
      <protection locked="0"/>
    </xf>
    <xf numFmtId="194" fontId="110" fillId="50" borderId="20" xfId="0" applyNumberFormat="1" applyFont="1" applyFill="1" applyBorder="1" applyAlignment="1">
      <alignment horizontal="right" vertical="center" shrinkToFit="1"/>
    </xf>
    <xf numFmtId="3" fontId="24" fillId="50" borderId="20" xfId="0" applyNumberFormat="1" applyFont="1" applyFill="1" applyBorder="1" applyAlignment="1" applyProtection="1">
      <alignment horizontal="right" vertical="center" shrinkToFit="1"/>
      <protection/>
    </xf>
    <xf numFmtId="1" fontId="24" fillId="50" borderId="20" xfId="0" applyNumberFormat="1" applyFont="1" applyFill="1" applyBorder="1" applyAlignment="1" applyProtection="1">
      <alignment horizontal="right" vertical="center"/>
      <protection/>
    </xf>
    <xf numFmtId="1" fontId="12" fillId="50" borderId="20" xfId="0" applyNumberFormat="1" applyFont="1" applyFill="1" applyBorder="1" applyAlignment="1" applyProtection="1">
      <alignment horizontal="right" vertical="center"/>
      <protection/>
    </xf>
    <xf numFmtId="1" fontId="24" fillId="50" borderId="20" xfId="151" applyNumberFormat="1" applyFont="1" applyFill="1" applyBorder="1" applyAlignment="1" applyProtection="1">
      <alignment horizontal="right" vertical="center"/>
      <protection/>
    </xf>
    <xf numFmtId="1" fontId="24" fillId="50" borderId="20" xfId="0" applyNumberFormat="1" applyFont="1" applyFill="1" applyBorder="1" applyAlignment="1">
      <alignment horizontal="right" vertical="center"/>
    </xf>
    <xf numFmtId="211" fontId="0" fillId="50" borderId="20" xfId="0" applyNumberFormat="1" applyFont="1" applyFill="1" applyBorder="1" applyAlignment="1" applyProtection="1">
      <alignment horizontal="right" vertical="center"/>
      <protection/>
    </xf>
    <xf numFmtId="211" fontId="0" fillId="50" borderId="20" xfId="151" applyNumberFormat="1" applyFont="1" applyFill="1" applyBorder="1" applyAlignment="1" applyProtection="1">
      <alignment horizontal="right" vertical="center"/>
      <protection/>
    </xf>
    <xf numFmtId="211" fontId="0" fillId="50" borderId="20" xfId="0" applyNumberFormat="1" applyFont="1" applyFill="1" applyBorder="1" applyAlignment="1">
      <alignment horizontal="right"/>
    </xf>
    <xf numFmtId="194" fontId="0" fillId="50" borderId="20" xfId="93" applyNumberFormat="1" applyFont="1" applyFill="1" applyBorder="1" applyAlignment="1" applyProtection="1">
      <alignment horizontal="right"/>
      <protection locked="0"/>
    </xf>
    <xf numFmtId="211" fontId="6" fillId="50" borderId="20" xfId="0" applyNumberFormat="1" applyFont="1" applyFill="1" applyBorder="1" applyAlignment="1" applyProtection="1">
      <alignment horizontal="right" vertical="center"/>
      <protection/>
    </xf>
    <xf numFmtId="211" fontId="5" fillId="50" borderId="20" xfId="151" applyNumberFormat="1" applyFont="1" applyFill="1" applyBorder="1" applyAlignment="1" applyProtection="1">
      <alignment horizontal="right" vertical="center"/>
      <protection/>
    </xf>
    <xf numFmtId="211" fontId="5" fillId="50" borderId="20" xfId="0" applyNumberFormat="1" applyFont="1" applyFill="1" applyBorder="1" applyAlignment="1">
      <alignment horizontal="right"/>
    </xf>
    <xf numFmtId="3" fontId="0" fillId="50" borderId="20" xfId="144" applyNumberFormat="1" applyFill="1" applyBorder="1" applyAlignment="1" applyProtection="1">
      <alignment horizontal="center" vertical="center"/>
      <protection/>
    </xf>
    <xf numFmtId="3" fontId="0" fillId="50" borderId="20" xfId="144" applyNumberFormat="1" applyFont="1" applyFill="1" applyBorder="1" applyAlignment="1" applyProtection="1">
      <alignment horizontal="center" vertical="center"/>
      <protection/>
    </xf>
    <xf numFmtId="3" fontId="0" fillId="50" borderId="21" xfId="144" applyNumberFormat="1" applyFont="1" applyFill="1" applyBorder="1" applyAlignment="1" applyProtection="1">
      <alignment horizontal="center" vertical="center"/>
      <protection/>
    </xf>
    <xf numFmtId="3" fontId="0" fillId="50" borderId="20" xfId="134" applyNumberFormat="1" applyFill="1" applyBorder="1" applyAlignment="1" applyProtection="1">
      <alignment vertical="center"/>
      <protection/>
    </xf>
    <xf numFmtId="3" fontId="0" fillId="50" borderId="20" xfId="134" applyNumberFormat="1" applyFont="1" applyFill="1" applyBorder="1" applyAlignment="1" applyProtection="1">
      <alignment vertical="center"/>
      <protection/>
    </xf>
    <xf numFmtId="3" fontId="0" fillId="50" borderId="20" xfId="152" applyNumberFormat="1" applyFont="1" applyFill="1" applyBorder="1" applyAlignment="1" applyProtection="1">
      <alignment vertical="center"/>
      <protection/>
    </xf>
    <xf numFmtId="3" fontId="0" fillId="50" borderId="20" xfId="134" applyNumberFormat="1" applyFont="1" applyFill="1" applyBorder="1" applyAlignment="1">
      <alignment/>
      <protection/>
    </xf>
    <xf numFmtId="194" fontId="160" fillId="50" borderId="20" xfId="95" applyNumberFormat="1" applyFont="1" applyFill="1" applyBorder="1" applyAlignment="1" applyProtection="1">
      <alignment horizontal="right"/>
      <protection locked="0"/>
    </xf>
    <xf numFmtId="194" fontId="0" fillId="50" borderId="20" xfId="93" applyNumberFormat="1" applyFont="1" applyFill="1" applyBorder="1" applyAlignment="1" applyProtection="1">
      <alignment/>
      <protection locked="0"/>
    </xf>
    <xf numFmtId="210" fontId="5" fillId="50" borderId="20" xfId="0" applyNumberFormat="1" applyFont="1" applyFill="1" applyBorder="1" applyAlignment="1" applyProtection="1">
      <alignment horizontal="left" vertical="center" wrapText="1"/>
      <protection/>
    </xf>
    <xf numFmtId="1" fontId="24" fillId="50" borderId="20" xfId="0" applyNumberFormat="1" applyFont="1" applyFill="1" applyBorder="1" applyAlignment="1">
      <alignment horizontal="right"/>
    </xf>
    <xf numFmtId="210" fontId="5" fillId="50" borderId="0" xfId="0" applyNumberFormat="1" applyFont="1" applyFill="1" applyAlignment="1">
      <alignment horizontal="left" vertical="center" wrapText="1"/>
    </xf>
    <xf numFmtId="210" fontId="5" fillId="50" borderId="21" xfId="0" applyNumberFormat="1" applyFont="1" applyFill="1" applyBorder="1" applyAlignment="1" applyProtection="1">
      <alignment horizontal="left" vertical="center" wrapText="1"/>
      <protection/>
    </xf>
    <xf numFmtId="49" fontId="1" fillId="50" borderId="20" xfId="0" applyNumberFormat="1" applyFont="1" applyFill="1" applyBorder="1" applyAlignment="1" applyProtection="1">
      <alignment horizontal="center" vertical="center"/>
      <protection/>
    </xf>
    <xf numFmtId="213" fontId="1" fillId="50" borderId="20" xfId="0" applyNumberFormat="1" applyFont="1" applyFill="1" applyBorder="1" applyAlignment="1" applyProtection="1">
      <alignment horizontal="center" vertical="center"/>
      <protection/>
    </xf>
    <xf numFmtId="49" fontId="1" fillId="50" borderId="20" xfId="151" applyNumberFormat="1" applyFont="1" applyFill="1" applyBorder="1" applyAlignment="1" applyProtection="1">
      <alignment horizontal="center" vertical="center"/>
      <protection/>
    </xf>
    <xf numFmtId="49" fontId="0" fillId="50" borderId="20" xfId="0" applyNumberFormat="1" applyFont="1" applyFill="1" applyBorder="1" applyAlignment="1">
      <alignment horizontal="center"/>
    </xf>
    <xf numFmtId="1" fontId="0" fillId="50" borderId="20" xfId="0" applyNumberFormat="1" applyFont="1" applyFill="1" applyBorder="1" applyAlignment="1">
      <alignment horizontal="center"/>
    </xf>
    <xf numFmtId="49" fontId="5" fillId="50" borderId="20" xfId="0" applyNumberFormat="1" applyFont="1" applyFill="1" applyBorder="1" applyAlignment="1" applyProtection="1">
      <alignment vertical="center"/>
      <protection/>
    </xf>
    <xf numFmtId="210" fontId="0" fillId="50" borderId="20" xfId="144" applyNumberFormat="1" applyFont="1" applyFill="1" applyBorder="1" applyAlignment="1" applyProtection="1">
      <alignment horizontal="center" vertical="center"/>
      <protection/>
    </xf>
    <xf numFmtId="210" fontId="20" fillId="50" borderId="20" xfId="144" applyNumberFormat="1" applyFont="1" applyFill="1" applyBorder="1" applyAlignment="1" applyProtection="1">
      <alignment horizontal="center" vertical="center"/>
      <protection/>
    </xf>
    <xf numFmtId="210" fontId="0" fillId="50" borderId="20" xfId="151" applyNumberFormat="1" applyFont="1" applyFill="1" applyBorder="1" applyAlignment="1" applyProtection="1">
      <alignment horizontal="center" vertical="center"/>
      <protection/>
    </xf>
    <xf numFmtId="210" fontId="0" fillId="50" borderId="20" xfId="144" applyNumberFormat="1" applyFont="1" applyFill="1" applyBorder="1" applyAlignment="1">
      <alignment horizontal="center" vertical="center" wrapText="1"/>
      <protection/>
    </xf>
    <xf numFmtId="49" fontId="101" fillId="50" borderId="0" xfId="0" applyNumberFormat="1" applyFont="1" applyFill="1" applyBorder="1" applyAlignment="1">
      <alignment/>
    </xf>
    <xf numFmtId="49" fontId="102" fillId="50" borderId="0" xfId="0" applyNumberFormat="1" applyFont="1" applyFill="1" applyBorder="1" applyAlignment="1">
      <alignment/>
    </xf>
    <xf numFmtId="210" fontId="163" fillId="50" borderId="20" xfId="0" applyNumberFormat="1" applyFont="1" applyFill="1" applyBorder="1" applyAlignment="1" applyProtection="1">
      <alignment vertical="center"/>
      <protection/>
    </xf>
    <xf numFmtId="1" fontId="162" fillId="50" borderId="20" xfId="0" applyNumberFormat="1" applyFont="1" applyFill="1" applyBorder="1" applyAlignment="1" applyProtection="1">
      <alignment vertical="center"/>
      <protection/>
    </xf>
    <xf numFmtId="210" fontId="162" fillId="50" borderId="20" xfId="95" applyNumberFormat="1" applyFont="1" applyFill="1" applyBorder="1" applyAlignment="1" applyProtection="1">
      <alignment vertical="center"/>
      <protection/>
    </xf>
    <xf numFmtId="194" fontId="162" fillId="50" borderId="20" xfId="0" applyNumberFormat="1" applyFont="1" applyFill="1" applyBorder="1" applyAlignment="1" applyProtection="1">
      <alignment vertical="center" shrinkToFit="1"/>
      <protection/>
    </xf>
    <xf numFmtId="3" fontId="162" fillId="50" borderId="20" xfId="140" applyNumberFormat="1" applyFont="1" applyFill="1" applyBorder="1" applyAlignment="1" applyProtection="1">
      <alignment vertical="center"/>
      <protection locked="0"/>
    </xf>
    <xf numFmtId="210" fontId="162" fillId="50" borderId="20" xfId="0" applyNumberFormat="1" applyFont="1" applyFill="1" applyBorder="1" applyAlignment="1" applyProtection="1">
      <alignment/>
      <protection/>
    </xf>
    <xf numFmtId="3" fontId="162" fillId="50" borderId="20" xfId="144" applyNumberFormat="1" applyFont="1" applyFill="1" applyBorder="1" applyAlignment="1" applyProtection="1">
      <alignment vertical="center"/>
      <protection/>
    </xf>
    <xf numFmtId="3" fontId="162" fillId="50" borderId="21" xfId="144" applyNumberFormat="1" applyFont="1" applyFill="1" applyBorder="1" applyAlignment="1" applyProtection="1">
      <alignment vertical="center"/>
      <protection/>
    </xf>
    <xf numFmtId="3" fontId="162" fillId="50" borderId="20" xfId="135" applyNumberFormat="1" applyFont="1" applyFill="1" applyBorder="1" applyAlignment="1" applyProtection="1">
      <alignment vertical="center"/>
      <protection/>
    </xf>
    <xf numFmtId="210" fontId="162" fillId="50" borderId="20" xfId="140" applyNumberFormat="1" applyFont="1" applyFill="1" applyBorder="1" applyAlignment="1" applyProtection="1">
      <alignment vertical="center"/>
      <protection locked="0"/>
    </xf>
    <xf numFmtId="194" fontId="162" fillId="50" borderId="20" xfId="93" applyNumberFormat="1" applyFont="1" applyFill="1" applyBorder="1" applyAlignment="1" applyProtection="1">
      <alignment vertical="center"/>
      <protection/>
    </xf>
    <xf numFmtId="3" fontId="162" fillId="50" borderId="20" xfId="0" applyNumberFormat="1" applyFont="1" applyFill="1" applyBorder="1" applyAlignment="1" applyProtection="1">
      <alignment vertical="center"/>
      <protection/>
    </xf>
    <xf numFmtId="1" fontId="162" fillId="50" borderId="20" xfId="0" applyNumberFormat="1" applyFont="1" applyFill="1" applyBorder="1" applyAlignment="1" applyProtection="1">
      <alignment/>
      <protection/>
    </xf>
    <xf numFmtId="194" fontId="162" fillId="50" borderId="20" xfId="93" applyNumberFormat="1" applyFont="1" applyFill="1" applyBorder="1" applyAlignment="1">
      <alignment/>
    </xf>
    <xf numFmtId="194" fontId="162" fillId="50" borderId="20" xfId="151" applyNumberFormat="1" applyFont="1" applyFill="1" applyBorder="1" applyAlignment="1" applyProtection="1">
      <alignment vertical="center" shrinkToFit="1"/>
      <protection/>
    </xf>
    <xf numFmtId="194" fontId="162" fillId="50" borderId="20" xfId="93" applyNumberFormat="1" applyFont="1" applyFill="1" applyBorder="1" applyAlignment="1">
      <alignment vertical="center"/>
    </xf>
    <xf numFmtId="3" fontId="162" fillId="50" borderId="20" xfId="0" applyNumberFormat="1" applyFont="1" applyFill="1" applyBorder="1" applyAlignment="1">
      <alignment/>
    </xf>
    <xf numFmtId="3" fontId="162" fillId="50" borderId="20" xfId="135" applyNumberFormat="1" applyFont="1" applyFill="1" applyBorder="1" applyAlignment="1">
      <alignment/>
      <protection/>
    </xf>
    <xf numFmtId="3" fontId="162" fillId="50" borderId="25" xfId="0" applyNumberFormat="1" applyFont="1" applyFill="1" applyBorder="1" applyAlignment="1">
      <alignment vertical="center"/>
    </xf>
    <xf numFmtId="210" fontId="162" fillId="50" borderId="20" xfId="144" applyNumberFormat="1" applyFont="1" applyFill="1" applyBorder="1" applyAlignment="1">
      <alignment vertical="center"/>
      <protection/>
    </xf>
    <xf numFmtId="210" fontId="162" fillId="51" borderId="20" xfId="152" applyNumberFormat="1" applyFont="1" applyFill="1" applyBorder="1" applyAlignment="1">
      <alignment/>
    </xf>
    <xf numFmtId="210" fontId="113" fillId="47" borderId="20" xfId="0" applyNumberFormat="1" applyFont="1" applyFill="1" applyBorder="1" applyAlignment="1" applyProtection="1">
      <alignment horizontal="right" vertical="center"/>
      <protection/>
    </xf>
    <xf numFmtId="210" fontId="113" fillId="47" borderId="20" xfId="0" applyNumberFormat="1" applyFont="1" applyFill="1" applyBorder="1" applyAlignment="1" applyProtection="1">
      <alignment vertical="center"/>
      <protection/>
    </xf>
    <xf numFmtId="210" fontId="113" fillId="47" borderId="20" xfId="154" applyNumberFormat="1" applyFont="1" applyFill="1" applyBorder="1" applyAlignment="1" applyProtection="1">
      <alignment vertical="center"/>
      <protection/>
    </xf>
    <xf numFmtId="210" fontId="112" fillId="47" borderId="20" xfId="0" applyNumberFormat="1" applyFont="1" applyFill="1" applyBorder="1" applyAlignment="1">
      <alignment/>
    </xf>
    <xf numFmtId="210" fontId="113" fillId="47" borderId="20" xfId="0" applyNumberFormat="1" applyFont="1" applyFill="1" applyBorder="1" applyAlignment="1">
      <alignment/>
    </xf>
    <xf numFmtId="3" fontId="112" fillId="47" borderId="20" xfId="0" applyNumberFormat="1" applyFont="1" applyFill="1" applyBorder="1" applyAlignment="1">
      <alignment horizontal="righ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25" fillId="0" borderId="0" xfId="141" applyNumberFormat="1" applyFont="1" applyBorder="1" applyAlignment="1">
      <alignment horizontal="center" wrapText="1"/>
      <protection/>
    </xf>
    <xf numFmtId="49" fontId="65" fillId="0" borderId="0" xfId="141" applyNumberFormat="1" applyFont="1" applyBorder="1" applyAlignment="1">
      <alignment horizontal="center" wrapText="1"/>
      <protection/>
    </xf>
    <xf numFmtId="49" fontId="40" fillId="0" borderId="0" xfId="141" applyNumberFormat="1" applyFont="1" applyBorder="1" applyAlignment="1">
      <alignment horizontal="center" wrapText="1"/>
      <protection/>
    </xf>
    <xf numFmtId="49" fontId="7" fillId="0" borderId="26" xfId="141" applyNumberFormat="1" applyFont="1" applyBorder="1" applyAlignment="1">
      <alignment horizontal="center" vertical="center" wrapText="1"/>
      <protection/>
    </xf>
    <xf numFmtId="49" fontId="7" fillId="0" borderId="41" xfId="141" applyNumberFormat="1" applyFont="1" applyBorder="1" applyAlignment="1">
      <alignment horizontal="center" vertical="center" wrapText="1"/>
      <protection/>
    </xf>
    <xf numFmtId="49" fontId="7" fillId="0" borderId="25" xfId="141" applyNumberFormat="1" applyFont="1" applyBorder="1" applyAlignment="1">
      <alignment horizontal="center" vertical="center" wrapText="1"/>
      <protection/>
    </xf>
    <xf numFmtId="49" fontId="7" fillId="0" borderId="26" xfId="141" applyNumberFormat="1" applyFont="1" applyFill="1" applyBorder="1" applyAlignment="1">
      <alignment horizontal="center" vertical="center" wrapText="1"/>
      <protection/>
    </xf>
    <xf numFmtId="49" fontId="27" fillId="0" borderId="25" xfId="141" applyNumberFormat="1" applyFont="1" applyFill="1" applyBorder="1" applyAlignment="1">
      <alignment horizontal="center" vertical="center" wrapText="1"/>
      <protection/>
    </xf>
    <xf numFmtId="49" fontId="0" fillId="3" borderId="35" xfId="141" applyNumberFormat="1" applyFont="1" applyFill="1" applyBorder="1" applyAlignment="1">
      <alignment horizontal="center"/>
      <protection/>
    </xf>
    <xf numFmtId="49" fontId="0" fillId="3" borderId="19" xfId="141" applyNumberFormat="1" applyFont="1" applyFill="1" applyBorder="1" applyAlignment="1">
      <alignment horizontal="center"/>
      <protection/>
    </xf>
    <xf numFmtId="49" fontId="0" fillId="3" borderId="36" xfId="141" applyNumberFormat="1" applyFont="1" applyFill="1" applyBorder="1" applyAlignment="1">
      <alignment horizontal="center"/>
      <protection/>
    </xf>
    <xf numFmtId="3" fontId="34" fillId="47" borderId="39" xfId="141" applyNumberFormat="1" applyFont="1" applyFill="1" applyBorder="1" applyAlignment="1" applyProtection="1">
      <alignment horizontal="center" vertical="center" wrapText="1"/>
      <protection/>
    </xf>
    <xf numFmtId="3" fontId="34" fillId="47" borderId="23" xfId="141" applyNumberFormat="1" applyFont="1" applyFill="1" applyBorder="1" applyAlignment="1" applyProtection="1">
      <alignment horizontal="center" vertical="center" wrapText="1"/>
      <protection/>
    </xf>
    <xf numFmtId="49" fontId="7" fillId="0" borderId="20" xfId="141" applyNumberFormat="1" applyFont="1" applyFill="1" applyBorder="1" applyAlignment="1" applyProtection="1">
      <alignment horizontal="center" vertical="center" wrapText="1"/>
      <protection/>
    </xf>
    <xf numFmtId="3" fontId="7" fillId="47" borderId="21" xfId="141" applyNumberFormat="1" applyFont="1" applyFill="1" applyBorder="1" applyAlignment="1" applyProtection="1">
      <alignment horizontal="center" vertical="center" wrapText="1"/>
      <protection/>
    </xf>
    <xf numFmtId="3" fontId="7" fillId="47" borderId="23" xfId="141" applyNumberFormat="1" applyFont="1" applyFill="1" applyBorder="1" applyAlignment="1" applyProtection="1">
      <alignment horizontal="center" vertical="center" wrapText="1"/>
      <protection/>
    </xf>
    <xf numFmtId="49" fontId="0" fillId="0" borderId="0" xfId="141" applyNumberFormat="1" applyFont="1" applyAlignment="1">
      <alignment horizontal="left"/>
      <protection/>
    </xf>
    <xf numFmtId="49" fontId="33" fillId="0" borderId="0" xfId="141" applyNumberFormat="1" applyFont="1" applyAlignment="1">
      <alignment horizontal="center"/>
      <protection/>
    </xf>
    <xf numFmtId="49" fontId="28" fillId="0" borderId="0" xfId="141" applyNumberFormat="1" applyFont="1" applyAlignment="1">
      <alignment horizontal="center" wrapText="1"/>
      <protection/>
    </xf>
    <xf numFmtId="49" fontId="25" fillId="0" borderId="0" xfId="141" applyNumberFormat="1" applyFont="1" applyAlignment="1">
      <alignment horizontal="center"/>
      <protection/>
    </xf>
    <xf numFmtId="0" fontId="16" fillId="0" borderId="20" xfId="141" applyNumberFormat="1" applyFont="1" applyBorder="1" applyAlignment="1">
      <alignment horizontal="center" vertical="center" wrapText="1"/>
      <protection/>
    </xf>
    <xf numFmtId="49" fontId="31" fillId="0" borderId="0" xfId="141" applyNumberFormat="1" applyFont="1" applyBorder="1" applyAlignment="1">
      <alignment horizontal="center" wrapText="1"/>
      <protection/>
    </xf>
    <xf numFmtId="0" fontId="55" fillId="3" borderId="26" xfId="141" applyNumberFormat="1" applyFont="1" applyFill="1" applyBorder="1" applyAlignment="1">
      <alignment horizontal="center" vertical="center" wrapText="1"/>
      <protection/>
    </xf>
    <xf numFmtId="0" fontId="55" fillId="3" borderId="25" xfId="141" applyNumberFormat="1" applyFont="1" applyFill="1" applyBorder="1" applyAlignment="1">
      <alignment horizontal="center" vertical="center" wrapText="1"/>
      <protection/>
    </xf>
    <xf numFmtId="49" fontId="3" fillId="0" borderId="0" xfId="141" applyNumberFormat="1" applyFont="1" applyBorder="1" applyAlignment="1">
      <alignment horizontal="left" wrapText="1"/>
      <protection/>
    </xf>
    <xf numFmtId="49" fontId="0" fillId="0" borderId="0" xfId="141" applyNumberFormat="1" applyFont="1" applyBorder="1" applyAlignment="1">
      <alignment horizontal="left" wrapText="1"/>
      <protection/>
    </xf>
    <xf numFmtId="49" fontId="18" fillId="0" borderId="22" xfId="141" applyNumberFormat="1" applyFont="1" applyFill="1" applyBorder="1" applyAlignment="1">
      <alignment horizontal="center" vertical="center"/>
      <protection/>
    </xf>
    <xf numFmtId="49" fontId="7" fillId="0" borderId="20" xfId="141" applyNumberFormat="1" applyFont="1" applyFill="1" applyBorder="1" applyAlignment="1">
      <alignment horizontal="center" vertical="center" wrapText="1"/>
      <protection/>
    </xf>
    <xf numFmtId="49" fontId="18" fillId="0" borderId="0" xfId="141" applyNumberFormat="1" applyFont="1" applyAlignment="1">
      <alignment horizontal="left"/>
      <protection/>
    </xf>
    <xf numFmtId="49" fontId="14" fillId="47" borderId="0" xfId="141" applyNumberFormat="1" applyFont="1" applyFill="1" applyAlignment="1">
      <alignment horizontal="center" vertical="center" wrapText="1"/>
      <protection/>
    </xf>
    <xf numFmtId="49" fontId="3" fillId="0" borderId="0" xfId="141" applyNumberFormat="1" applyFont="1" applyAlignment="1">
      <alignment horizontal="left"/>
      <protection/>
    </xf>
    <xf numFmtId="0" fontId="25" fillId="0" borderId="0" xfId="141" applyFont="1" applyAlignment="1">
      <alignment horizontal="center"/>
      <protection/>
    </xf>
    <xf numFmtId="49" fontId="25" fillId="47" borderId="0" xfId="141" applyNumberFormat="1" applyFont="1" applyFill="1" applyAlignment="1">
      <alignment horizontal="center"/>
      <protection/>
    </xf>
    <xf numFmtId="49" fontId="7" fillId="0" borderId="25" xfId="141" applyNumberFormat="1" applyFont="1" applyFill="1" applyBorder="1" applyAlignment="1">
      <alignment horizontal="center" vertical="center" wrapText="1"/>
      <protection/>
    </xf>
    <xf numFmtId="0" fontId="7" fillId="0" borderId="35" xfId="141" applyNumberFormat="1" applyFont="1" applyBorder="1" applyAlignment="1">
      <alignment horizontal="center" vertical="center" wrapText="1"/>
      <protection/>
    </xf>
    <xf numFmtId="0" fontId="7" fillId="0" borderId="36" xfId="141" applyNumberFormat="1" applyFont="1" applyBorder="1" applyAlignment="1">
      <alignment horizontal="center" vertical="center" wrapText="1"/>
      <protection/>
    </xf>
    <xf numFmtId="0" fontId="7" fillId="0" borderId="24" xfId="141" applyNumberFormat="1" applyFont="1" applyBorder="1" applyAlignment="1">
      <alignment horizontal="center" vertical="center" wrapText="1"/>
      <protection/>
    </xf>
    <xf numFmtId="0" fontId="7" fillId="0" borderId="40" xfId="141" applyNumberFormat="1" applyFont="1" applyBorder="1" applyAlignment="1">
      <alignment horizontal="center" vertical="center" wrapText="1"/>
      <protection/>
    </xf>
    <xf numFmtId="49" fontId="7" fillId="44" borderId="26" xfId="141" applyNumberFormat="1" applyFont="1" applyFill="1" applyBorder="1" applyAlignment="1">
      <alignment horizontal="center" vertical="center"/>
      <protection/>
    </xf>
    <xf numFmtId="49" fontId="7" fillId="44" borderId="25" xfId="141" applyNumberFormat="1" applyFont="1" applyFill="1" applyBorder="1" applyAlignment="1">
      <alignment horizontal="center" vertical="center"/>
      <protection/>
    </xf>
    <xf numFmtId="0" fontId="56" fillId="3" borderId="26" xfId="141" applyNumberFormat="1" applyFont="1" applyFill="1" applyBorder="1" applyAlignment="1">
      <alignment horizontal="center" vertical="center" wrapText="1"/>
      <protection/>
    </xf>
    <xf numFmtId="0" fontId="56" fillId="3" borderId="25" xfId="141" applyNumberFormat="1" applyFont="1" applyFill="1" applyBorder="1" applyAlignment="1">
      <alignment horizontal="center" vertical="center" wrapText="1"/>
      <protection/>
    </xf>
    <xf numFmtId="49" fontId="3" fillId="0" borderId="0" xfId="141" applyNumberFormat="1" applyFont="1" applyFill="1" applyAlignment="1">
      <alignment horizontal="left"/>
      <protection/>
    </xf>
    <xf numFmtId="49" fontId="6" fillId="0" borderId="20" xfId="141" applyNumberFormat="1" applyFont="1" applyFill="1" applyBorder="1" applyAlignment="1">
      <alignment horizontal="center" vertical="center" wrapText="1"/>
      <protection/>
    </xf>
    <xf numFmtId="49" fontId="6" fillId="0" borderId="26" xfId="141" applyNumberFormat="1" applyFont="1" applyFill="1" applyBorder="1" applyAlignment="1">
      <alignment horizontal="center" vertical="center" wrapText="1"/>
      <protection/>
    </xf>
    <xf numFmtId="49" fontId="6" fillId="0" borderId="41" xfId="141" applyNumberFormat="1" applyFont="1" applyFill="1" applyBorder="1" applyAlignment="1">
      <alignment horizontal="center" vertical="center" wrapText="1"/>
      <protection/>
    </xf>
    <xf numFmtId="49" fontId="6" fillId="0" borderId="25" xfId="141" applyNumberFormat="1" applyFont="1" applyFill="1" applyBorder="1" applyAlignment="1">
      <alignment horizontal="center" vertical="center" wrapText="1"/>
      <protection/>
    </xf>
    <xf numFmtId="49" fontId="18" fillId="0" borderId="0" xfId="141" applyNumberFormat="1" applyFont="1" applyFill="1" applyBorder="1" applyAlignment="1">
      <alignment horizontal="left"/>
      <protection/>
    </xf>
    <xf numFmtId="49" fontId="0" fillId="0" borderId="0" xfId="141" applyNumberFormat="1" applyFont="1" applyFill="1" applyAlignment="1">
      <alignment horizontal="justify" wrapText="1"/>
      <protection/>
    </xf>
    <xf numFmtId="49" fontId="3" fillId="0" borderId="0" xfId="141" applyNumberFormat="1" applyFont="1" applyFill="1" applyAlignment="1">
      <alignment horizontal="center" vertical="top" wrapText="1"/>
      <protection/>
    </xf>
    <xf numFmtId="49" fontId="7" fillId="44" borderId="26" xfId="141" applyNumberFormat="1" applyFont="1" applyFill="1" applyBorder="1" applyAlignment="1">
      <alignment horizontal="center"/>
      <protection/>
    </xf>
    <xf numFmtId="49" fontId="7" fillId="44" borderId="25" xfId="141" applyNumberFormat="1" applyFont="1" applyFill="1" applyBorder="1" applyAlignment="1">
      <alignment horizontal="center"/>
      <protection/>
    </xf>
    <xf numFmtId="49" fontId="21" fillId="0" borderId="26" xfId="141" applyNumberFormat="1" applyFont="1" applyFill="1" applyBorder="1" applyAlignment="1">
      <alignment horizontal="center" vertical="center" wrapText="1"/>
      <protection/>
    </xf>
    <xf numFmtId="49" fontId="21" fillId="0" borderId="25" xfId="141" applyNumberFormat="1" applyFont="1" applyFill="1" applyBorder="1" applyAlignment="1">
      <alignment horizontal="center" vertical="center" wrapText="1"/>
      <protection/>
    </xf>
    <xf numFmtId="0" fontId="6" fillId="0" borderId="35" xfId="141" applyNumberFormat="1" applyFont="1" applyFill="1" applyBorder="1" applyAlignment="1">
      <alignment horizontal="center" vertical="center" wrapText="1"/>
      <protection/>
    </xf>
    <xf numFmtId="0" fontId="6" fillId="0" borderId="36" xfId="141" applyNumberFormat="1" applyFont="1" applyFill="1" applyBorder="1" applyAlignment="1">
      <alignment horizontal="center" vertical="center" wrapText="1"/>
      <protection/>
    </xf>
    <xf numFmtId="0" fontId="6" fillId="0" borderId="24" xfId="141" applyNumberFormat="1" applyFont="1" applyFill="1" applyBorder="1" applyAlignment="1">
      <alignment horizontal="center" vertical="center" wrapText="1"/>
      <protection/>
    </xf>
    <xf numFmtId="0" fontId="6" fillId="0" borderId="40" xfId="141" applyNumberFormat="1" applyFont="1" applyFill="1" applyBorder="1" applyAlignment="1">
      <alignment horizontal="center" vertical="center" wrapText="1"/>
      <protection/>
    </xf>
    <xf numFmtId="0" fontId="6" fillId="0" borderId="27" xfId="141" applyNumberFormat="1" applyFont="1" applyFill="1" applyBorder="1" applyAlignment="1">
      <alignment horizontal="center" vertical="center" wrapText="1"/>
      <protection/>
    </xf>
    <xf numFmtId="0" fontId="6" fillId="0" borderId="37" xfId="141" applyNumberFormat="1" applyFont="1" applyFill="1" applyBorder="1" applyAlignment="1">
      <alignment horizontal="center" vertical="center" wrapText="1"/>
      <protection/>
    </xf>
    <xf numFmtId="49" fontId="6" fillId="0" borderId="39" xfId="141" applyNumberFormat="1" applyFont="1" applyFill="1" applyBorder="1" applyAlignment="1">
      <alignment horizontal="center" vertical="center" wrapText="1"/>
      <protection/>
    </xf>
    <xf numFmtId="49" fontId="6" fillId="0" borderId="23" xfId="141" applyNumberFormat="1" applyFont="1" applyFill="1" applyBorder="1" applyAlignment="1">
      <alignment horizontal="center" vertical="center" wrapText="1"/>
      <protection/>
    </xf>
    <xf numFmtId="49" fontId="3" fillId="0" borderId="20" xfId="141" applyNumberFormat="1" applyFont="1" applyFill="1" applyBorder="1" applyAlignment="1">
      <alignment horizontal="center"/>
      <protection/>
    </xf>
    <xf numFmtId="49" fontId="68" fillId="3" borderId="26" xfId="141" applyNumberFormat="1" applyFont="1" applyFill="1" applyBorder="1" applyAlignment="1">
      <alignment horizontal="center" vertical="center" wrapText="1"/>
      <protection/>
    </xf>
    <xf numFmtId="49" fontId="68" fillId="3" borderId="25" xfId="141" applyNumberFormat="1" applyFont="1" applyFill="1" applyBorder="1" applyAlignment="1">
      <alignment horizontal="center" vertical="center" wrapText="1"/>
      <protection/>
    </xf>
    <xf numFmtId="49" fontId="67" fillId="3" borderId="26" xfId="141" applyNumberFormat="1" applyFont="1" applyFill="1" applyBorder="1" applyAlignment="1">
      <alignment horizontal="center" vertical="center" wrapText="1"/>
      <protection/>
    </xf>
    <xf numFmtId="49" fontId="67" fillId="3" borderId="25" xfId="141" applyNumberFormat="1" applyFont="1" applyFill="1" applyBorder="1" applyAlignment="1">
      <alignment horizontal="center" vertical="center" wrapText="1"/>
      <protection/>
    </xf>
    <xf numFmtId="49" fontId="0" fillId="0" borderId="0" xfId="141" applyNumberFormat="1" applyFont="1" applyFill="1" applyBorder="1" applyAlignment="1">
      <alignment horizontal="left"/>
      <protection/>
    </xf>
    <xf numFmtId="49" fontId="3" fillId="0" borderId="0" xfId="141" applyNumberFormat="1" applyFont="1" applyFill="1" applyBorder="1" applyAlignment="1">
      <alignment horizontal="left"/>
      <protection/>
    </xf>
    <xf numFmtId="49" fontId="3" fillId="0" borderId="0" xfId="141" applyNumberFormat="1" applyFont="1" applyFill="1" applyBorder="1" applyAlignment="1">
      <alignment horizontal="left" wrapText="1"/>
      <protection/>
    </xf>
    <xf numFmtId="49" fontId="0" fillId="0" borderId="0" xfId="141" applyNumberFormat="1" applyFont="1" applyFill="1" applyBorder="1" applyAlignment="1">
      <alignment horizontal="left" wrapText="1"/>
      <protection/>
    </xf>
    <xf numFmtId="49" fontId="6" fillId="0" borderId="22" xfId="141" applyNumberFormat="1" applyFont="1" applyFill="1" applyBorder="1" applyAlignment="1">
      <alignment horizontal="center" vertical="center" wrapText="1"/>
      <protection/>
    </xf>
    <xf numFmtId="49" fontId="15" fillId="0" borderId="0" xfId="141" applyNumberFormat="1" applyFont="1" applyFill="1" applyBorder="1" applyAlignment="1">
      <alignment horizontal="center" vertical="center" wrapText="1"/>
      <protection/>
    </xf>
    <xf numFmtId="49" fontId="13" fillId="0" borderId="0" xfId="141" applyNumberFormat="1" applyFont="1" applyFill="1" applyAlignment="1">
      <alignment horizontal="left" wrapText="1"/>
      <protection/>
    </xf>
    <xf numFmtId="49" fontId="13" fillId="0" borderId="0" xfId="141" applyNumberFormat="1" applyFont="1" applyFill="1" applyAlignment="1">
      <alignment horizontal="center" wrapText="1"/>
      <protection/>
    </xf>
    <xf numFmtId="0" fontId="3" fillId="0" borderId="0" xfId="141" applyFont="1" applyAlignment="1">
      <alignment horizontal="center"/>
      <protection/>
    </xf>
    <xf numFmtId="49" fontId="3" fillId="47" borderId="0" xfId="141" applyNumberFormat="1" applyFont="1" applyFill="1" applyAlignment="1">
      <alignment horizontal="center"/>
      <protection/>
    </xf>
    <xf numFmtId="49" fontId="23" fillId="0" borderId="0" xfId="141" applyNumberFormat="1" applyFont="1" applyFill="1" applyBorder="1" applyAlignment="1">
      <alignment horizontal="center" wrapText="1"/>
      <protection/>
    </xf>
    <xf numFmtId="49" fontId="15" fillId="0" borderId="0" xfId="141" applyNumberFormat="1" applyFont="1" applyFill="1" applyBorder="1" applyAlignment="1">
      <alignment horizontal="center" wrapText="1"/>
      <protection/>
    </xf>
    <xf numFmtId="49" fontId="71" fillId="0" borderId="0" xfId="141" applyNumberFormat="1" applyFont="1" applyFill="1" applyAlignment="1">
      <alignment horizontal="center"/>
      <protection/>
    </xf>
    <xf numFmtId="49" fontId="18" fillId="0" borderId="0" xfId="141" applyNumberFormat="1" applyFont="1" applyFill="1" applyAlignment="1">
      <alignment horizontal="center"/>
      <protection/>
    </xf>
    <xf numFmtId="49" fontId="3" fillId="0" borderId="20" xfId="141" applyNumberFormat="1" applyFont="1" applyFill="1" applyBorder="1" applyAlignment="1">
      <alignment horizontal="center" vertical="center" wrapText="1"/>
      <protection/>
    </xf>
    <xf numFmtId="49" fontId="20" fillId="0" borderId="20" xfId="141" applyNumberFormat="1" applyFont="1" applyFill="1" applyBorder="1" applyAlignment="1">
      <alignment horizontal="center" vertical="center" wrapText="1"/>
      <protection/>
    </xf>
    <xf numFmtId="49" fontId="3" fillId="0" borderId="20" xfId="141" applyNumberFormat="1" applyFont="1" applyBorder="1" applyAlignment="1">
      <alignment horizontal="center"/>
      <protection/>
    </xf>
    <xf numFmtId="49" fontId="14" fillId="0" borderId="0" xfId="141" applyNumberFormat="1" applyFont="1" applyAlignment="1">
      <alignment horizontal="center" wrapText="1"/>
      <protection/>
    </xf>
    <xf numFmtId="49" fontId="18" fillId="0" borderId="22" xfId="141" applyNumberFormat="1" applyFont="1" applyBorder="1" applyAlignment="1">
      <alignment horizontal="left"/>
      <protection/>
    </xf>
    <xf numFmtId="49" fontId="18" fillId="0" borderId="0" xfId="141" applyNumberFormat="1" applyFont="1" applyAlignment="1">
      <alignment horizontal="center"/>
      <protection/>
    </xf>
    <xf numFmtId="49" fontId="18" fillId="0" borderId="0" xfId="141" applyNumberFormat="1" applyFont="1" applyBorder="1" applyAlignment="1">
      <alignment horizontal="left"/>
      <protection/>
    </xf>
    <xf numFmtId="49" fontId="0" fillId="0" borderId="0" xfId="141" applyNumberFormat="1" applyFont="1" applyAlignment="1">
      <alignment horizontal="left" wrapText="1"/>
      <protection/>
    </xf>
    <xf numFmtId="49" fontId="3" fillId="0" borderId="0" xfId="141" applyNumberFormat="1" applyFont="1" applyAlignment="1">
      <alignment horizontal="left" wrapText="1"/>
      <protection/>
    </xf>
    <xf numFmtId="49" fontId="7" fillId="0" borderId="35" xfId="141" applyNumberFormat="1" applyFont="1" applyFill="1" applyBorder="1" applyAlignment="1">
      <alignment horizontal="center" vertical="center" wrapText="1"/>
      <protection/>
    </xf>
    <xf numFmtId="49" fontId="7" fillId="0" borderId="36" xfId="141" applyNumberFormat="1" applyFont="1" applyFill="1" applyBorder="1" applyAlignment="1">
      <alignment horizontal="center" vertical="center" wrapText="1"/>
      <protection/>
    </xf>
    <xf numFmtId="49" fontId="7" fillId="0" borderId="24" xfId="141" applyNumberFormat="1" applyFont="1" applyFill="1" applyBorder="1" applyAlignment="1">
      <alignment horizontal="center" vertical="center" wrapText="1"/>
      <protection/>
    </xf>
    <xf numFmtId="49" fontId="7" fillId="0" borderId="40" xfId="141" applyNumberFormat="1" applyFont="1" applyFill="1" applyBorder="1" applyAlignment="1">
      <alignment horizontal="center" vertical="center" wrapText="1"/>
      <protection/>
    </xf>
    <xf numFmtId="49" fontId="7" fillId="0" borderId="27" xfId="141" applyNumberFormat="1" applyFont="1" applyFill="1" applyBorder="1" applyAlignment="1">
      <alignment horizontal="center" vertical="center" wrapText="1"/>
      <protection/>
    </xf>
    <xf numFmtId="49" fontId="7" fillId="0" borderId="37" xfId="141" applyNumberFormat="1" applyFont="1" applyFill="1" applyBorder="1" applyAlignment="1">
      <alignment horizontal="center" vertical="center" wrapText="1"/>
      <protection/>
    </xf>
    <xf numFmtId="49" fontId="28" fillId="0" borderId="0" xfId="141" applyNumberFormat="1" applyFont="1" applyAlignment="1">
      <alignment horizontal="center"/>
      <protection/>
    </xf>
    <xf numFmtId="49" fontId="56" fillId="3" borderId="26" xfId="141" applyNumberFormat="1" applyFont="1" applyFill="1" applyBorder="1" applyAlignment="1">
      <alignment horizontal="center" wrapText="1"/>
      <protection/>
    </xf>
    <xf numFmtId="49" fontId="56" fillId="3" borderId="25" xfId="141" applyNumberFormat="1" applyFont="1" applyFill="1" applyBorder="1" applyAlignment="1">
      <alignment horizontal="center" wrapText="1"/>
      <protection/>
    </xf>
    <xf numFmtId="49" fontId="55" fillId="3" borderId="26" xfId="141" applyNumberFormat="1" applyFont="1" applyFill="1" applyBorder="1" applyAlignment="1">
      <alignment horizontal="center" wrapText="1"/>
      <protection/>
    </xf>
    <xf numFmtId="49" fontId="55" fillId="3" borderId="25" xfId="141" applyNumberFormat="1" applyFont="1" applyFill="1" applyBorder="1" applyAlignment="1">
      <alignment horizontal="center" wrapText="1"/>
      <protection/>
    </xf>
    <xf numFmtId="49" fontId="13" fillId="0" borderId="0" xfId="141" applyNumberFormat="1" applyFont="1" applyBorder="1" applyAlignment="1">
      <alignment wrapText="1"/>
      <protection/>
    </xf>
    <xf numFmtId="49" fontId="13" fillId="0" borderId="0" xfId="141" applyNumberFormat="1" applyFont="1" applyBorder="1" applyAlignment="1">
      <alignment horizontal="center" wrapText="1"/>
      <protection/>
    </xf>
    <xf numFmtId="49" fontId="7" fillId="44" borderId="26" xfId="141" applyNumberFormat="1" applyFont="1" applyFill="1" applyBorder="1" applyAlignment="1">
      <alignment horizontal="center" vertical="center" wrapText="1"/>
      <protection/>
    </xf>
    <xf numFmtId="49" fontId="7" fillId="44" borderId="25" xfId="141" applyNumberFormat="1" applyFont="1" applyFill="1" applyBorder="1" applyAlignment="1">
      <alignment horizontal="center" vertical="center" wrapText="1"/>
      <protection/>
    </xf>
    <xf numFmtId="49" fontId="16" fillId="0" borderId="26" xfId="141" applyNumberFormat="1" applyFont="1" applyBorder="1" applyAlignment="1">
      <alignment horizontal="center" wrapText="1"/>
      <protection/>
    </xf>
    <xf numFmtId="49" fontId="16" fillId="0" borderId="25" xfId="141" applyNumberFormat="1" applyFont="1" applyBorder="1" applyAlignment="1">
      <alignment horizontal="center" wrapText="1"/>
      <protection/>
    </xf>
    <xf numFmtId="49" fontId="28" fillId="0" borderId="0" xfId="141" applyNumberFormat="1" applyFont="1" applyBorder="1" applyAlignment="1">
      <alignment horizontal="center" wrapText="1"/>
      <protection/>
    </xf>
    <xf numFmtId="49" fontId="0" fillId="0" borderId="0" xfId="141" applyNumberFormat="1" applyFont="1" applyAlignment="1">
      <alignment/>
      <protection/>
    </xf>
    <xf numFmtId="49" fontId="31" fillId="0" borderId="0" xfId="141" applyNumberFormat="1" applyFont="1" applyBorder="1" applyAlignment="1">
      <alignment horizontal="center"/>
      <protection/>
    </xf>
    <xf numFmtId="49" fontId="25" fillId="0" borderId="0" xfId="141" applyNumberFormat="1" applyFont="1" applyBorder="1" applyAlignment="1">
      <alignment horizontal="center"/>
      <protection/>
    </xf>
    <xf numFmtId="49" fontId="6" fillId="0" borderId="20" xfId="143" applyNumberFormat="1" applyFont="1" applyFill="1" applyBorder="1" applyAlignment="1">
      <alignment horizontal="center" vertical="center" wrapText="1"/>
      <protection/>
    </xf>
    <xf numFmtId="49" fontId="85" fillId="3" borderId="26" xfId="143" applyNumberFormat="1" applyFont="1" applyFill="1" applyBorder="1" applyAlignment="1">
      <alignment horizontal="center" vertical="center" wrapText="1"/>
      <protection/>
    </xf>
    <xf numFmtId="49" fontId="85" fillId="3" borderId="25" xfId="143" applyNumberFormat="1" applyFont="1" applyFill="1" applyBorder="1" applyAlignment="1">
      <alignment horizontal="center" vertical="center" wrapText="1"/>
      <protection/>
    </xf>
    <xf numFmtId="49" fontId="6" fillId="0" borderId="25" xfId="143" applyNumberFormat="1" applyFont="1" applyFill="1" applyBorder="1" applyAlignment="1">
      <alignment horizontal="center" vertical="center" wrapText="1"/>
      <protection/>
    </xf>
    <xf numFmtId="49" fontId="3" fillId="0" borderId="0" xfId="143" applyNumberFormat="1" applyFont="1" applyBorder="1" applyAlignment="1">
      <alignment horizontal="left"/>
      <protection/>
    </xf>
    <xf numFmtId="49" fontId="6" fillId="0" borderId="35" xfId="143" applyNumberFormat="1" applyFont="1" applyFill="1" applyBorder="1" applyAlignment="1">
      <alignment horizontal="center" vertical="center"/>
      <protection/>
    </xf>
    <xf numFmtId="49" fontId="6" fillId="0" borderId="36" xfId="143" applyNumberFormat="1" applyFont="1" applyFill="1" applyBorder="1" applyAlignment="1">
      <alignment horizontal="center" vertical="center"/>
      <protection/>
    </xf>
    <xf numFmtId="49" fontId="6" fillId="0" borderId="24" xfId="143" applyNumberFormat="1" applyFont="1" applyFill="1" applyBorder="1" applyAlignment="1">
      <alignment horizontal="center" vertical="center"/>
      <protection/>
    </xf>
    <xf numFmtId="49" fontId="6" fillId="0" borderId="40" xfId="143" applyNumberFormat="1" applyFont="1" applyFill="1" applyBorder="1" applyAlignment="1">
      <alignment horizontal="center" vertical="center"/>
      <protection/>
    </xf>
    <xf numFmtId="49" fontId="6" fillId="0" borderId="27" xfId="143" applyNumberFormat="1" applyFont="1" applyFill="1" applyBorder="1" applyAlignment="1">
      <alignment horizontal="center" vertical="center"/>
      <protection/>
    </xf>
    <xf numFmtId="49" fontId="6" fillId="0" borderId="37" xfId="143" applyNumberFormat="1" applyFont="1" applyFill="1" applyBorder="1" applyAlignment="1">
      <alignment horizontal="center" vertical="center"/>
      <protection/>
    </xf>
    <xf numFmtId="49" fontId="14" fillId="0" borderId="0" xfId="143" applyNumberFormat="1" applyFont="1" applyFill="1" applyAlignment="1">
      <alignment horizontal="center" wrapText="1"/>
      <protection/>
    </xf>
    <xf numFmtId="49" fontId="14" fillId="0" borderId="0" xfId="143" applyNumberFormat="1" applyFont="1" applyAlignment="1">
      <alignment horizontal="center"/>
      <protection/>
    </xf>
    <xf numFmtId="49" fontId="4" fillId="0" borderId="0" xfId="143" applyNumberFormat="1" applyFont="1" applyAlignment="1">
      <alignment horizontal="left"/>
      <protection/>
    </xf>
    <xf numFmtId="49" fontId="6" fillId="0" borderId="26" xfId="143" applyNumberFormat="1" applyFont="1" applyFill="1" applyBorder="1" applyAlignment="1">
      <alignment horizontal="center" vertical="center"/>
      <protection/>
    </xf>
    <xf numFmtId="49" fontId="6" fillId="0" borderId="41" xfId="143" applyNumberFormat="1" applyFont="1" applyFill="1" applyBorder="1" applyAlignment="1">
      <alignment horizontal="center" vertical="center"/>
      <protection/>
    </xf>
    <xf numFmtId="49" fontId="3" fillId="0" borderId="0" xfId="143" applyNumberFormat="1" applyFont="1" applyFill="1" applyAlignment="1">
      <alignment horizontal="left"/>
      <protection/>
    </xf>
    <xf numFmtId="49" fontId="33" fillId="0" borderId="0" xfId="143" applyNumberFormat="1" applyFont="1" applyAlignment="1">
      <alignment horizontal="center"/>
      <protection/>
    </xf>
    <xf numFmtId="49" fontId="18" fillId="0" borderId="0" xfId="143" applyNumberFormat="1" applyFont="1" applyBorder="1" applyAlignment="1">
      <alignment horizontal="left"/>
      <protection/>
    </xf>
    <xf numFmtId="49" fontId="6" fillId="0" borderId="26" xfId="143" applyNumberFormat="1" applyFont="1" applyFill="1" applyBorder="1" applyAlignment="1">
      <alignment horizontal="center" vertical="center" wrapText="1"/>
      <protection/>
    </xf>
    <xf numFmtId="49" fontId="86" fillId="3" borderId="26" xfId="143" applyNumberFormat="1" applyFont="1" applyFill="1" applyBorder="1" applyAlignment="1">
      <alignment horizontal="center" vertical="center" wrapText="1"/>
      <protection/>
    </xf>
    <xf numFmtId="49" fontId="86" fillId="3" borderId="25" xfId="143" applyNumberFormat="1" applyFont="1" applyFill="1" applyBorder="1" applyAlignment="1">
      <alignment horizontal="center" vertical="center" wrapText="1"/>
      <protection/>
    </xf>
    <xf numFmtId="49" fontId="28" fillId="0" borderId="0" xfId="143" applyNumberFormat="1" applyFont="1" applyAlignment="1">
      <alignment horizontal="center"/>
      <protection/>
    </xf>
    <xf numFmtId="0" fontId="25" fillId="47" borderId="0" xfId="143" applyFont="1" applyFill="1" applyBorder="1" applyAlignment="1">
      <alignment horizontal="center"/>
      <protection/>
    </xf>
    <xf numFmtId="49" fontId="31" fillId="0" borderId="0" xfId="143" applyNumberFormat="1" applyFont="1" applyAlignment="1">
      <alignment horizontal="center"/>
      <protection/>
    </xf>
    <xf numFmtId="49" fontId="25" fillId="0" borderId="0" xfId="143" applyNumberFormat="1" applyFont="1" applyBorder="1" applyAlignment="1">
      <alignment horizontal="center" wrapText="1"/>
      <protection/>
    </xf>
    <xf numFmtId="49" fontId="6" fillId="0" borderId="26" xfId="143" applyNumberFormat="1" applyFont="1" applyBorder="1" applyAlignment="1">
      <alignment horizontal="center" vertical="center" wrapText="1"/>
      <protection/>
    </xf>
    <xf numFmtId="49" fontId="6" fillId="0" borderId="25" xfId="143" applyNumberFormat="1" applyFont="1" applyBorder="1" applyAlignment="1">
      <alignment horizontal="center" vertical="center" wrapText="1"/>
      <protection/>
    </xf>
    <xf numFmtId="49" fontId="25" fillId="0" borderId="0" xfId="143" applyNumberFormat="1" applyFont="1" applyBorder="1" applyAlignment="1">
      <alignment horizontal="center"/>
      <protection/>
    </xf>
    <xf numFmtId="49" fontId="76" fillId="4" borderId="21" xfId="143" applyNumberFormat="1" applyFont="1" applyFill="1" applyBorder="1" applyAlignment="1">
      <alignment horizontal="center" vertical="center" wrapText="1"/>
      <protection/>
    </xf>
    <xf numFmtId="49" fontId="76" fillId="4" borderId="39" xfId="143" applyNumberFormat="1" applyFont="1" applyFill="1" applyBorder="1" applyAlignment="1">
      <alignment horizontal="center" vertical="center" wrapText="1"/>
      <protection/>
    </xf>
    <xf numFmtId="49" fontId="76" fillId="4" borderId="23" xfId="143" applyNumberFormat="1" applyFont="1" applyFill="1" applyBorder="1" applyAlignment="1">
      <alignment horizontal="center" vertical="center" wrapText="1"/>
      <protection/>
    </xf>
    <xf numFmtId="49" fontId="0" fillId="0" borderId="0" xfId="143" applyNumberFormat="1" applyFont="1" applyAlignment="1">
      <alignment horizontal="left"/>
      <protection/>
    </xf>
    <xf numFmtId="49" fontId="84" fillId="0" borderId="26" xfId="143" applyNumberFormat="1" applyFont="1" applyBorder="1" applyAlignment="1">
      <alignment horizontal="center" vertical="center" wrapText="1"/>
      <protection/>
    </xf>
    <xf numFmtId="49" fontId="84" fillId="0" borderId="25" xfId="143" applyNumberFormat="1" applyFont="1" applyBorder="1" applyAlignment="1">
      <alignment horizontal="center" vertical="center" wrapText="1"/>
      <protection/>
    </xf>
    <xf numFmtId="49" fontId="31" fillId="0" borderId="0" xfId="143" applyNumberFormat="1" applyFont="1" applyBorder="1" applyAlignment="1">
      <alignment horizontal="center" wrapText="1"/>
      <protection/>
    </xf>
    <xf numFmtId="49" fontId="6" fillId="0" borderId="21" xfId="143" applyNumberFormat="1" applyFont="1" applyFill="1" applyBorder="1" applyAlignment="1">
      <alignment horizontal="center" vertical="center" wrapText="1"/>
      <protection/>
    </xf>
    <xf numFmtId="49" fontId="6" fillId="0" borderId="39" xfId="143" applyNumberFormat="1" applyFont="1" applyFill="1" applyBorder="1" applyAlignment="1">
      <alignment horizontal="center" vertical="center" wrapText="1"/>
      <protection/>
    </xf>
    <xf numFmtId="49" fontId="6" fillId="0" borderId="23" xfId="143" applyNumberFormat="1" applyFont="1" applyFill="1" applyBorder="1" applyAlignment="1">
      <alignment horizontal="center" vertical="center" wrapText="1"/>
      <protection/>
    </xf>
    <xf numFmtId="49" fontId="13" fillId="0" borderId="0" xfId="143" applyNumberFormat="1" applyFont="1" applyAlignment="1">
      <alignment horizontal="center"/>
      <protection/>
    </xf>
    <xf numFmtId="49" fontId="31" fillId="0" borderId="0" xfId="143" applyNumberFormat="1" applyFont="1" applyBorder="1" applyAlignment="1">
      <alignment horizontal="center"/>
      <protection/>
    </xf>
    <xf numFmtId="0" fontId="6" fillId="0" borderId="20" xfId="143" applyFont="1" applyBorder="1" applyAlignment="1">
      <alignment horizontal="center" vertical="center" wrapText="1"/>
      <protection/>
    </xf>
    <xf numFmtId="0" fontId="6" fillId="0" borderId="20" xfId="143" applyFont="1" applyFill="1" applyBorder="1" applyAlignment="1">
      <alignment horizontal="center" vertical="center" wrapText="1"/>
      <protection/>
    </xf>
    <xf numFmtId="0" fontId="12" fillId="0" borderId="20" xfId="143" applyFont="1" applyBorder="1" applyAlignment="1">
      <alignment horizontal="center" vertical="center" wrapText="1"/>
      <protection/>
    </xf>
    <xf numFmtId="0" fontId="6" fillId="0" borderId="20" xfId="143" applyFont="1" applyBorder="1" applyAlignment="1">
      <alignment horizontal="center" vertical="center"/>
      <protection/>
    </xf>
    <xf numFmtId="3" fontId="0" fillId="47" borderId="0" xfId="143" applyNumberFormat="1" applyFont="1" applyFill="1" applyBorder="1" applyAlignment="1">
      <alignment horizontal="left"/>
      <protection/>
    </xf>
    <xf numFmtId="0" fontId="3" fillId="0" borderId="0" xfId="143" applyFont="1" applyBorder="1" applyAlignment="1">
      <alignment horizontal="left"/>
      <protection/>
    </xf>
    <xf numFmtId="0" fontId="0" fillId="0" borderId="0" xfId="143" applyFont="1" applyBorder="1" applyAlignment="1">
      <alignment horizontal="left"/>
      <protection/>
    </xf>
    <xf numFmtId="0" fontId="14" fillId="0" borderId="0" xfId="143" applyFont="1" applyAlignment="1">
      <alignment horizontal="center"/>
      <protection/>
    </xf>
    <xf numFmtId="0" fontId="33" fillId="0" borderId="0" xfId="143" applyFont="1" applyAlignment="1">
      <alignment horizontal="center"/>
      <protection/>
    </xf>
    <xf numFmtId="0" fontId="6" fillId="0" borderId="35" xfId="143" applyFont="1" applyBorder="1" applyAlignment="1">
      <alignment horizontal="center" vertical="center" wrapText="1"/>
      <protection/>
    </xf>
    <xf numFmtId="0" fontId="6" fillId="0" borderId="19" xfId="143" applyFont="1" applyBorder="1" applyAlignment="1">
      <alignment horizontal="center" vertical="center" wrapText="1"/>
      <protection/>
    </xf>
    <xf numFmtId="0" fontId="6" fillId="0" borderId="36" xfId="143" applyFont="1" applyBorder="1" applyAlignment="1">
      <alignment horizontal="center" vertical="center" wrapText="1"/>
      <protection/>
    </xf>
    <xf numFmtId="0" fontId="6" fillId="0" borderId="24" xfId="143" applyFont="1" applyBorder="1" applyAlignment="1">
      <alignment horizontal="center" vertical="center" wrapText="1"/>
      <protection/>
    </xf>
    <xf numFmtId="0" fontId="6" fillId="0" borderId="0" xfId="143" applyFont="1" applyBorder="1" applyAlignment="1">
      <alignment horizontal="center" vertical="center" wrapText="1"/>
      <protection/>
    </xf>
    <xf numFmtId="0" fontId="6" fillId="0" borderId="40" xfId="143" applyFont="1" applyBorder="1" applyAlignment="1">
      <alignment horizontal="center" vertical="center" wrapText="1"/>
      <protection/>
    </xf>
    <xf numFmtId="0" fontId="67" fillId="3" borderId="26" xfId="143" applyFont="1" applyFill="1" applyBorder="1" applyAlignment="1">
      <alignment horizontal="center" vertical="center" wrapText="1"/>
      <protection/>
    </xf>
    <xf numFmtId="0" fontId="67" fillId="3" borderId="25" xfId="143" applyFont="1" applyFill="1" applyBorder="1" applyAlignment="1">
      <alignment horizontal="center" vertical="center" wrapText="1"/>
      <protection/>
    </xf>
    <xf numFmtId="0" fontId="25" fillId="0" borderId="0" xfId="143" applyNumberFormat="1" applyFont="1" applyBorder="1" applyAlignment="1">
      <alignment horizontal="center"/>
      <protection/>
    </xf>
    <xf numFmtId="0" fontId="3" fillId="0" borderId="0" xfId="143" applyNumberFormat="1" applyFont="1" applyAlignment="1">
      <alignment horizontal="left"/>
      <protection/>
    </xf>
    <xf numFmtId="0" fontId="0" fillId="0" borderId="0" xfId="143" applyFont="1" applyAlignment="1">
      <alignment horizontal="left"/>
      <protection/>
    </xf>
    <xf numFmtId="0" fontId="0" fillId="0" borderId="0" xfId="143" applyFont="1" applyBorder="1" applyAlignment="1">
      <alignment/>
      <protection/>
    </xf>
    <xf numFmtId="0" fontId="14" fillId="0" borderId="0" xfId="143" applyFont="1" applyAlignment="1">
      <alignment horizontal="center" wrapText="1"/>
      <protection/>
    </xf>
    <xf numFmtId="0" fontId="13" fillId="0" borderId="0" xfId="143" applyFont="1" applyBorder="1" applyAlignment="1">
      <alignment horizontal="center"/>
      <protection/>
    </xf>
    <xf numFmtId="0" fontId="88" fillId="0" borderId="0" xfId="143" applyFont="1" applyAlignment="1">
      <alignment horizontal="center"/>
      <protection/>
    </xf>
    <xf numFmtId="0" fontId="6" fillId="0" borderId="26" xfId="143" applyFont="1" applyBorder="1" applyAlignment="1">
      <alignment horizontal="center" vertical="center" wrapText="1"/>
      <protection/>
    </xf>
    <xf numFmtId="0" fontId="6" fillId="0" borderId="25" xfId="143" applyFont="1" applyBorder="1" applyAlignment="1">
      <alignment horizontal="center" vertical="center" wrapText="1"/>
      <protection/>
    </xf>
    <xf numFmtId="0" fontId="13" fillId="0" borderId="22" xfId="143" applyFont="1" applyBorder="1" applyAlignment="1">
      <alignment horizontal="left"/>
      <protection/>
    </xf>
    <xf numFmtId="0" fontId="6" fillId="0" borderId="26" xfId="143" applyFont="1" applyBorder="1" applyAlignment="1">
      <alignment horizontal="center" vertical="center"/>
      <protection/>
    </xf>
    <xf numFmtId="0" fontId="6" fillId="0" borderId="41" xfId="143" applyFont="1" applyBorder="1" applyAlignment="1">
      <alignment horizontal="center" vertical="center"/>
      <protection/>
    </xf>
    <xf numFmtId="0" fontId="6" fillId="0" borderId="25" xfId="143" applyFont="1" applyBorder="1" applyAlignment="1">
      <alignment horizontal="center" vertical="center"/>
      <protection/>
    </xf>
    <xf numFmtId="0" fontId="31" fillId="0" borderId="0" xfId="143" applyNumberFormat="1" applyFont="1" applyBorder="1" applyAlignment="1">
      <alignment horizontal="center"/>
      <protection/>
    </xf>
    <xf numFmtId="0" fontId="31" fillId="0" borderId="0" xfId="143" applyFont="1" applyBorder="1" applyAlignment="1">
      <alignment horizontal="center" wrapText="1"/>
      <protection/>
    </xf>
    <xf numFmtId="0" fontId="25" fillId="0" borderId="0" xfId="143" applyFont="1" applyBorder="1" applyAlignment="1">
      <alignment horizontal="center" wrapText="1"/>
      <protection/>
    </xf>
    <xf numFmtId="0" fontId="6" fillId="0" borderId="21" xfId="143" applyFont="1" applyBorder="1" applyAlignment="1">
      <alignment horizontal="center" vertical="center" wrapText="1"/>
      <protection/>
    </xf>
    <xf numFmtId="0" fontId="6" fillId="0" borderId="39" xfId="143" applyFont="1" applyBorder="1" applyAlignment="1">
      <alignment horizontal="center" vertical="center" wrapText="1"/>
      <protection/>
    </xf>
    <xf numFmtId="0" fontId="6" fillId="0" borderId="23" xfId="143" applyFont="1" applyBorder="1" applyAlignment="1">
      <alignment horizontal="center" vertical="center" wrapText="1"/>
      <protection/>
    </xf>
    <xf numFmtId="0" fontId="21" fillId="0" borderId="26" xfId="143" applyFont="1" applyBorder="1" applyAlignment="1">
      <alignment horizontal="center" vertical="center" wrapText="1"/>
      <protection/>
    </xf>
    <xf numFmtId="0" fontId="21" fillId="0" borderId="25" xfId="143" applyFont="1" applyBorder="1" applyAlignment="1">
      <alignment horizontal="center" vertical="center" wrapText="1"/>
      <protection/>
    </xf>
    <xf numFmtId="49" fontId="6" fillId="0" borderId="19" xfId="143" applyNumberFormat="1" applyFont="1" applyFill="1" applyBorder="1" applyAlignment="1">
      <alignment horizontal="center" vertical="center"/>
      <protection/>
    </xf>
    <xf numFmtId="49" fontId="6" fillId="0" borderId="0" xfId="143" applyNumberFormat="1" applyFont="1" applyFill="1" applyBorder="1" applyAlignment="1">
      <alignment horizontal="center" vertical="center"/>
      <protection/>
    </xf>
    <xf numFmtId="49" fontId="6" fillId="0" borderId="22" xfId="143" applyNumberFormat="1" applyFont="1" applyFill="1" applyBorder="1" applyAlignment="1">
      <alignment horizontal="center" vertical="center"/>
      <protection/>
    </xf>
    <xf numFmtId="0" fontId="68" fillId="3" borderId="26" xfId="143" applyFont="1" applyFill="1" applyBorder="1" applyAlignment="1">
      <alignment horizontal="center" vertical="center" wrapText="1"/>
      <protection/>
    </xf>
    <xf numFmtId="0" fontId="68" fillId="3" borderId="25" xfId="143" applyFont="1" applyFill="1" applyBorder="1" applyAlignment="1">
      <alignment horizontal="center" vertical="center" wrapText="1"/>
      <protection/>
    </xf>
    <xf numFmtId="49" fontId="79" fillId="0" borderId="0" xfId="143" applyNumberFormat="1" applyFont="1" applyAlignment="1">
      <alignment horizontal="center"/>
      <protection/>
    </xf>
    <xf numFmtId="49" fontId="6" fillId="0" borderId="20" xfId="143" applyNumberFormat="1" applyFont="1" applyFill="1" applyBorder="1" applyAlignment="1">
      <alignment horizontal="center" vertical="center"/>
      <protection/>
    </xf>
    <xf numFmtId="49" fontId="77" fillId="3" borderId="26" xfId="143" applyNumberFormat="1" applyFont="1" applyFill="1" applyBorder="1" applyAlignment="1">
      <alignment horizontal="center" vertical="center" wrapText="1"/>
      <protection/>
    </xf>
    <xf numFmtId="49" fontId="77" fillId="3" borderId="25" xfId="143" applyNumberFormat="1" applyFont="1" applyFill="1" applyBorder="1" applyAlignment="1">
      <alignment horizontal="center" vertical="center" wrapText="1"/>
      <protection/>
    </xf>
    <xf numFmtId="49" fontId="75" fillId="3" borderId="26" xfId="143" applyNumberFormat="1" applyFont="1" applyFill="1" applyBorder="1" applyAlignment="1">
      <alignment horizontal="center" vertical="center" wrapText="1"/>
      <protection/>
    </xf>
    <xf numFmtId="49" fontId="75" fillId="3" borderId="25" xfId="143" applyNumberFormat="1" applyFont="1" applyFill="1" applyBorder="1" applyAlignment="1">
      <alignment horizontal="center" vertical="center" wrapText="1"/>
      <protection/>
    </xf>
    <xf numFmtId="49" fontId="3" fillId="0" borderId="0" xfId="143" applyNumberFormat="1" applyFont="1" applyAlignment="1">
      <alignment horizontal="left"/>
      <protection/>
    </xf>
    <xf numFmtId="49" fontId="5" fillId="0" borderId="0" xfId="143" applyNumberFormat="1" applyFont="1" applyBorder="1" applyAlignment="1">
      <alignment horizontal="left" wrapText="1"/>
      <protection/>
    </xf>
    <xf numFmtId="49" fontId="5" fillId="0" borderId="0" xfId="143" applyNumberFormat="1" applyFont="1" applyBorder="1" applyAlignment="1">
      <alignment horizontal="left"/>
      <protection/>
    </xf>
    <xf numFmtId="49" fontId="14" fillId="0" borderId="0" xfId="143" applyNumberFormat="1" applyFont="1" applyAlignment="1">
      <alignment horizontal="center" wrapText="1"/>
      <protection/>
    </xf>
    <xf numFmtId="49" fontId="0" fillId="47" borderId="0" xfId="143" applyNumberFormat="1" applyFont="1" applyFill="1" applyBorder="1" applyAlignment="1">
      <alignment horizontal="left" vertical="top" wrapText="1"/>
      <protection/>
    </xf>
    <xf numFmtId="49" fontId="3" fillId="47" borderId="0" xfId="143" applyNumberFormat="1" applyFont="1" applyFill="1" applyBorder="1" applyAlignment="1">
      <alignment horizontal="left" vertical="top" wrapText="1"/>
      <protection/>
    </xf>
    <xf numFmtId="49" fontId="0" fillId="0" borderId="0" xfId="143" applyNumberFormat="1" applyFont="1" applyAlignment="1">
      <alignment horizontal="justify" vertical="top"/>
      <protection/>
    </xf>
    <xf numFmtId="49" fontId="0" fillId="0" borderId="0" xfId="143" applyNumberFormat="1" applyFont="1" applyBorder="1" applyAlignment="1">
      <alignment horizontal="justify" vertical="top" wrapText="1"/>
      <protection/>
    </xf>
    <xf numFmtId="49" fontId="0" fillId="0" borderId="0" xfId="143" applyNumberFormat="1" applyFont="1" applyBorder="1" applyAlignment="1">
      <alignment horizontal="justify" vertical="top"/>
      <protection/>
    </xf>
    <xf numFmtId="49" fontId="18" fillId="0" borderId="0" xfId="143" applyNumberFormat="1" applyFont="1" applyAlignment="1">
      <alignment horizontal="center" wrapText="1"/>
      <protection/>
    </xf>
    <xf numFmtId="49" fontId="19" fillId="0" borderId="22" xfId="143" applyNumberFormat="1" applyFont="1" applyBorder="1" applyAlignment="1">
      <alignment horizontal="center"/>
      <protection/>
    </xf>
    <xf numFmtId="49" fontId="74" fillId="0" borderId="20" xfId="143" applyNumberFormat="1" applyFont="1" applyBorder="1" applyAlignment="1">
      <alignment horizontal="center" vertical="center" wrapText="1"/>
      <protection/>
    </xf>
    <xf numFmtId="49" fontId="12" fillId="0" borderId="20" xfId="143" applyNumberFormat="1" applyFont="1" applyBorder="1" applyAlignment="1">
      <alignment horizontal="center" vertical="center" wrapText="1"/>
      <protection/>
    </xf>
    <xf numFmtId="49" fontId="7" fillId="0" borderId="0" xfId="143" applyNumberFormat="1" applyFont="1" applyAlignment="1">
      <alignment horizontal="left"/>
      <protection/>
    </xf>
    <xf numFmtId="49" fontId="13" fillId="0" borderId="0" xfId="143" applyNumberFormat="1" applyFont="1" applyBorder="1" applyAlignment="1">
      <alignment horizontal="left"/>
      <protection/>
    </xf>
    <xf numFmtId="49" fontId="7" fillId="0" borderId="26" xfId="143" applyNumberFormat="1" applyFont="1" applyBorder="1" applyAlignment="1">
      <alignment horizontal="center" vertical="center" wrapText="1"/>
      <protection/>
    </xf>
    <xf numFmtId="49" fontId="7" fillId="0" borderId="25" xfId="143" applyNumberFormat="1" applyFont="1" applyBorder="1" applyAlignment="1">
      <alignment horizontal="center" vertical="center" wrapText="1"/>
      <protection/>
    </xf>
    <xf numFmtId="49" fontId="4" fillId="0" borderId="0" xfId="143" applyNumberFormat="1" applyFont="1" applyAlignment="1">
      <alignment/>
      <protection/>
    </xf>
    <xf numFmtId="49" fontId="0" fillId="0" borderId="0" xfId="143" applyNumberFormat="1" applyFont="1" applyBorder="1" applyAlignment="1">
      <alignment horizontal="left"/>
      <protection/>
    </xf>
    <xf numFmtId="49" fontId="19" fillId="0" borderId="26" xfId="143" applyNumberFormat="1" applyFont="1" applyBorder="1" applyAlignment="1">
      <alignment horizontal="center" vertical="center" wrapText="1"/>
      <protection/>
    </xf>
    <xf numFmtId="49" fontId="19" fillId="0" borderId="25" xfId="143" applyNumberFormat="1" applyFont="1" applyBorder="1" applyAlignment="1">
      <alignment horizontal="center" vertical="center" wrapText="1"/>
      <protection/>
    </xf>
    <xf numFmtId="49" fontId="90" fillId="3" borderId="26" xfId="143" applyNumberFormat="1" applyFont="1" applyFill="1" applyBorder="1" applyAlignment="1">
      <alignment horizontal="center" vertical="center" wrapText="1"/>
      <protection/>
    </xf>
    <xf numFmtId="49" fontId="90" fillId="3" borderId="25" xfId="143" applyNumberFormat="1" applyFont="1" applyFill="1" applyBorder="1" applyAlignment="1">
      <alignment horizontal="center" vertical="center" wrapText="1"/>
      <protection/>
    </xf>
    <xf numFmtId="49" fontId="89" fillId="3" borderId="26" xfId="143" applyNumberFormat="1" applyFont="1" applyFill="1" applyBorder="1" applyAlignment="1">
      <alignment horizontal="center" vertical="center" wrapText="1"/>
      <protection/>
    </xf>
    <xf numFmtId="49" fontId="89" fillId="3" borderId="25" xfId="143" applyNumberFormat="1" applyFont="1" applyFill="1" applyBorder="1" applyAlignment="1">
      <alignment horizontal="center" vertical="center" wrapText="1"/>
      <protection/>
    </xf>
    <xf numFmtId="49" fontId="6" fillId="0" borderId="21" xfId="143" applyNumberFormat="1" applyFont="1" applyBorder="1" applyAlignment="1">
      <alignment horizontal="center" vertical="center" wrapText="1"/>
      <protection/>
    </xf>
    <xf numFmtId="49" fontId="6" fillId="0" borderId="23" xfId="143" applyNumberFormat="1" applyFont="1" applyBorder="1" applyAlignment="1">
      <alignment horizontal="center" vertical="center" wrapText="1"/>
      <protection/>
    </xf>
    <xf numFmtId="49" fontId="6" fillId="0" borderId="39" xfId="143" applyNumberFormat="1" applyFont="1" applyBorder="1" applyAlignment="1">
      <alignment horizontal="center" vertical="center" wrapText="1"/>
      <protection/>
    </xf>
    <xf numFmtId="49" fontId="6" fillId="0" borderId="41" xfId="143" applyNumberFormat="1" applyFont="1" applyBorder="1" applyAlignment="1">
      <alignment horizontal="center" vertical="center" wrapText="1"/>
      <protection/>
    </xf>
    <xf numFmtId="49" fontId="19" fillId="0" borderId="0" xfId="143" applyNumberFormat="1" applyFont="1" applyAlignment="1">
      <alignment horizontal="center"/>
      <protection/>
    </xf>
    <xf numFmtId="49" fontId="18" fillId="0" borderId="22" xfId="143" applyNumberFormat="1" applyFont="1" applyBorder="1" applyAlignment="1">
      <alignment horizontal="left"/>
      <protection/>
    </xf>
    <xf numFmtId="49" fontId="31" fillId="0" borderId="0" xfId="143" applyNumberFormat="1" applyFont="1" applyBorder="1" applyAlignment="1">
      <alignment horizontal="left" wrapText="1"/>
      <protection/>
    </xf>
    <xf numFmtId="49" fontId="0" fillId="0" borderId="0" xfId="143" applyNumberFormat="1" applyFont="1" applyFill="1" applyAlignment="1">
      <alignment horizontal="left"/>
      <protection/>
    </xf>
    <xf numFmtId="49" fontId="6" fillId="0" borderId="41" xfId="143" applyNumberFormat="1" applyFont="1" applyFill="1" applyBorder="1" applyAlignment="1">
      <alignment horizontal="center" vertical="center" wrapText="1"/>
      <protection/>
    </xf>
    <xf numFmtId="49" fontId="6" fillId="0" borderId="27" xfId="143" applyNumberFormat="1" applyFont="1" applyFill="1" applyBorder="1" applyAlignment="1">
      <alignment horizontal="center" vertical="center" wrapText="1"/>
      <protection/>
    </xf>
    <xf numFmtId="49" fontId="6" fillId="0" borderId="37" xfId="143" applyNumberFormat="1" applyFont="1" applyFill="1" applyBorder="1" applyAlignment="1">
      <alignment horizontal="center" vertical="center" wrapText="1"/>
      <protection/>
    </xf>
    <xf numFmtId="49" fontId="19" fillId="0" borderId="26" xfId="143" applyNumberFormat="1" applyFont="1" applyFill="1" applyBorder="1" applyAlignment="1">
      <alignment horizontal="center" vertical="center"/>
      <protection/>
    </xf>
    <xf numFmtId="49" fontId="19" fillId="0" borderId="25" xfId="143" applyNumberFormat="1" applyFont="1" applyFill="1" applyBorder="1" applyAlignment="1">
      <alignment horizontal="center" vertical="center"/>
      <protection/>
    </xf>
    <xf numFmtId="49" fontId="89" fillId="3" borderId="26" xfId="143" applyNumberFormat="1" applyFont="1" applyFill="1" applyBorder="1" applyAlignment="1">
      <alignment horizontal="center" vertical="center"/>
      <protection/>
    </xf>
    <xf numFmtId="49" fontId="89" fillId="3" borderId="25" xfId="143" applyNumberFormat="1" applyFont="1" applyFill="1" applyBorder="1" applyAlignment="1">
      <alignment horizontal="center" vertical="center"/>
      <protection/>
    </xf>
    <xf numFmtId="49" fontId="90" fillId="3" borderId="26" xfId="143" applyNumberFormat="1" applyFont="1" applyFill="1" applyBorder="1" applyAlignment="1">
      <alignment horizontal="center" vertical="center"/>
      <protection/>
    </xf>
    <xf numFmtId="49" fontId="90" fillId="3" borderId="25" xfId="143" applyNumberFormat="1" applyFont="1" applyFill="1" applyBorder="1" applyAlignment="1">
      <alignment horizontal="center" vertical="center"/>
      <protection/>
    </xf>
    <xf numFmtId="49" fontId="6" fillId="0" borderId="35" xfId="143" applyNumberFormat="1" applyFont="1" applyFill="1" applyBorder="1" applyAlignment="1">
      <alignment horizontal="center" vertical="center" wrapText="1"/>
      <protection/>
    </xf>
    <xf numFmtId="49" fontId="6" fillId="0" borderId="36" xfId="143" applyNumberFormat="1" applyFont="1" applyFill="1" applyBorder="1" applyAlignment="1">
      <alignment horizontal="center" vertical="center" wrapText="1"/>
      <protection/>
    </xf>
    <xf numFmtId="49" fontId="6" fillId="0" borderId="24" xfId="143" applyNumberFormat="1" applyFont="1" applyFill="1" applyBorder="1" applyAlignment="1">
      <alignment horizontal="center" vertical="center" wrapText="1"/>
      <protection/>
    </xf>
    <xf numFmtId="49" fontId="6" fillId="0" borderId="40" xfId="143" applyNumberFormat="1" applyFont="1" applyFill="1" applyBorder="1" applyAlignment="1">
      <alignment horizontal="center" vertical="center" wrapText="1"/>
      <protection/>
    </xf>
    <xf numFmtId="49" fontId="13" fillId="0" borderId="22" xfId="143" applyNumberFormat="1" applyFont="1" applyFill="1" applyBorder="1" applyAlignment="1">
      <alignment horizontal="center" vertical="center"/>
      <protection/>
    </xf>
    <xf numFmtId="49" fontId="18" fillId="0" borderId="0" xfId="143" applyNumberFormat="1" applyFont="1" applyFill="1" applyBorder="1" applyAlignment="1">
      <alignment horizontal="left"/>
      <protection/>
    </xf>
    <xf numFmtId="49" fontId="28" fillId="0" borderId="0" xfId="143" applyNumberFormat="1" applyFont="1" applyAlignment="1">
      <alignment horizontal="center"/>
      <protection/>
    </xf>
    <xf numFmtId="0" fontId="82" fillId="0" borderId="41" xfId="143" applyFont="1" applyFill="1" applyBorder="1" applyAlignment="1">
      <alignment horizontal="center" vertical="center" wrapText="1"/>
      <protection/>
    </xf>
    <xf numFmtId="0" fontId="82" fillId="0" borderId="25" xfId="143" applyFont="1" applyFill="1" applyBorder="1" applyAlignment="1">
      <alignment horizontal="center" vertical="center" wrapText="1"/>
      <protection/>
    </xf>
    <xf numFmtId="49" fontId="6" fillId="47" borderId="26" xfId="143" applyNumberFormat="1" applyFont="1" applyFill="1" applyBorder="1" applyAlignment="1">
      <alignment horizontal="center" vertical="center"/>
      <protection/>
    </xf>
    <xf numFmtId="49" fontId="6" fillId="47" borderId="25" xfId="143" applyNumberFormat="1" applyFont="1" applyFill="1" applyBorder="1" applyAlignment="1">
      <alignment horizontal="center" vertical="center"/>
      <protection/>
    </xf>
    <xf numFmtId="0" fontId="14" fillId="0" borderId="0" xfId="143" applyNumberFormat="1" applyFont="1" applyAlignment="1">
      <alignment horizontal="center"/>
      <protection/>
    </xf>
    <xf numFmtId="0" fontId="33" fillId="0" borderId="0" xfId="143" applyNumberFormat="1" applyFont="1" applyAlignment="1">
      <alignment horizontal="center"/>
      <protection/>
    </xf>
    <xf numFmtId="0" fontId="23" fillId="0" borderId="0" xfId="143" applyNumberFormat="1" applyFont="1" applyAlignment="1">
      <alignment horizontal="center"/>
      <protection/>
    </xf>
    <xf numFmtId="0" fontId="7" fillId="0" borderId="20" xfId="143" applyFont="1" applyFill="1" applyBorder="1" applyAlignment="1">
      <alignment horizontal="center" vertical="center" wrapText="1"/>
      <protection/>
    </xf>
    <xf numFmtId="0" fontId="18" fillId="0" borderId="0" xfId="143" applyFont="1" applyBorder="1" applyAlignment="1">
      <alignment horizontal="left"/>
      <protection/>
    </xf>
    <xf numFmtId="0" fontId="13" fillId="0" borderId="0" xfId="143" applyFont="1" applyAlignment="1">
      <alignment horizontal="center"/>
      <protection/>
    </xf>
    <xf numFmtId="49" fontId="31" fillId="0" borderId="0" xfId="143" applyNumberFormat="1" applyFont="1" applyBorder="1" applyAlignment="1">
      <alignment horizontal="justify" vertical="justify" wrapText="1"/>
      <protection/>
    </xf>
    <xf numFmtId="0" fontId="28" fillId="47" borderId="0" xfId="143" applyFont="1" applyFill="1" applyBorder="1" applyAlignment="1">
      <alignment horizontal="center"/>
      <protection/>
    </xf>
    <xf numFmtId="49" fontId="7" fillId="0" borderId="35" xfId="143" applyNumberFormat="1" applyFont="1" applyFill="1" applyBorder="1" applyAlignment="1">
      <alignment horizontal="center" vertical="center"/>
      <protection/>
    </xf>
    <xf numFmtId="49" fontId="7" fillId="0" borderId="36" xfId="143" applyNumberFormat="1" applyFont="1" applyFill="1" applyBorder="1" applyAlignment="1">
      <alignment horizontal="center" vertical="center"/>
      <protection/>
    </xf>
    <xf numFmtId="49" fontId="7" fillId="0" borderId="24" xfId="143" applyNumberFormat="1" applyFont="1" applyFill="1" applyBorder="1" applyAlignment="1">
      <alignment horizontal="center" vertical="center"/>
      <protection/>
    </xf>
    <xf numFmtId="49" fontId="7" fillId="0" borderId="40" xfId="143" applyNumberFormat="1" applyFont="1" applyFill="1" applyBorder="1" applyAlignment="1">
      <alignment horizontal="center" vertical="center"/>
      <protection/>
    </xf>
    <xf numFmtId="49" fontId="7" fillId="0" borderId="27" xfId="143" applyNumberFormat="1" applyFont="1" applyFill="1" applyBorder="1" applyAlignment="1">
      <alignment horizontal="center" vertical="center"/>
      <protection/>
    </xf>
    <xf numFmtId="49" fontId="7" fillId="0" borderId="37" xfId="143" applyNumberFormat="1" applyFont="1" applyFill="1" applyBorder="1" applyAlignment="1">
      <alignment horizontal="center" vertical="center"/>
      <protection/>
    </xf>
    <xf numFmtId="0" fontId="25" fillId="0" borderId="0" xfId="143"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Alignment="1">
      <alignment horizontal="center"/>
    </xf>
    <xf numFmtId="49" fontId="13" fillId="0" borderId="44" xfId="0" applyNumberFormat="1" applyFont="1" applyFill="1" applyBorder="1" applyAlignment="1" applyProtection="1">
      <alignment horizontal="center" vertical="center" wrapText="1"/>
      <protection/>
    </xf>
    <xf numFmtId="49" fontId="13" fillId="0" borderId="25" xfId="0" applyNumberFormat="1" applyFont="1" applyFill="1" applyBorder="1" applyAlignment="1" applyProtection="1">
      <alignment horizontal="center" vertical="center" wrapText="1"/>
      <protection/>
    </xf>
    <xf numFmtId="49" fontId="158" fillId="0" borderId="20" xfId="0" applyNumberFormat="1" applyFont="1" applyFill="1" applyBorder="1" applyAlignment="1">
      <alignment horizontal="center" vertical="center" wrapText="1"/>
    </xf>
    <xf numFmtId="210" fontId="5" fillId="50" borderId="26" xfId="0" applyNumberFormat="1" applyFont="1" applyFill="1" applyBorder="1" applyAlignment="1" applyProtection="1">
      <alignment horizontal="center" vertical="center" wrapText="1"/>
      <protection/>
    </xf>
    <xf numFmtId="210" fontId="5" fillId="50" borderId="25" xfId="0" applyNumberFormat="1" applyFont="1" applyFill="1" applyBorder="1" applyAlignment="1" applyProtection="1">
      <alignment horizontal="center" vertical="center" wrapText="1"/>
      <protection/>
    </xf>
    <xf numFmtId="49" fontId="158"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49" fontId="4" fillId="0" borderId="0" xfId="0" applyNumberFormat="1" applyFont="1" applyFill="1" applyBorder="1" applyAlignment="1">
      <alignment horizontal="left" wrapText="1"/>
    </xf>
    <xf numFmtId="0" fontId="28" fillId="0" borderId="19" xfId="0" applyNumberFormat="1" applyFont="1" applyFill="1" applyBorder="1" applyAlignment="1">
      <alignment horizontal="center"/>
    </xf>
    <xf numFmtId="49" fontId="4" fillId="0" borderId="20" xfId="0" applyNumberFormat="1" applyFont="1" applyFill="1" applyBorder="1" applyAlignment="1" applyProtection="1">
      <alignment horizontal="center" vertical="center" wrapText="1"/>
      <protection/>
    </xf>
    <xf numFmtId="49" fontId="15" fillId="0" borderId="0" xfId="0" applyNumberFormat="1" applyFont="1" applyFill="1" applyAlignment="1">
      <alignment horizontal="center"/>
    </xf>
    <xf numFmtId="49" fontId="15" fillId="0" borderId="0" xfId="0" applyNumberFormat="1" applyFont="1" applyFill="1" applyAlignment="1">
      <alignment horizontal="center" wrapText="1"/>
    </xf>
    <xf numFmtId="0" fontId="23" fillId="0" borderId="0" xfId="0" applyNumberFormat="1" applyFont="1" applyFill="1" applyAlignment="1">
      <alignment horizontal="center"/>
    </xf>
    <xf numFmtId="49" fontId="4" fillId="0" borderId="20"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0" xfId="0" applyNumberFormat="1" applyFont="1" applyFill="1" applyBorder="1" applyAlignment="1">
      <alignment horizontal="left" wrapText="1"/>
    </xf>
    <xf numFmtId="49" fontId="4" fillId="0" borderId="0" xfId="0" applyNumberFormat="1" applyFont="1" applyFill="1" applyAlignment="1">
      <alignment horizontal="left"/>
    </xf>
    <xf numFmtId="1" fontId="4" fillId="0" borderId="20" xfId="0" applyNumberFormat="1" applyFont="1" applyFill="1" applyBorder="1" applyAlignment="1">
      <alignment horizontal="center" vertical="center"/>
    </xf>
    <xf numFmtId="210" fontId="158"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210" fontId="15" fillId="0" borderId="0" xfId="0" applyNumberFormat="1" applyFont="1" applyFill="1" applyAlignment="1">
      <alignment horizontal="center"/>
    </xf>
    <xf numFmtId="210" fontId="15" fillId="0" borderId="0" xfId="0" applyNumberFormat="1" applyFont="1" applyFill="1" applyAlignment="1">
      <alignment horizontal="center" wrapText="1"/>
    </xf>
    <xf numFmtId="210" fontId="23" fillId="0" borderId="0" xfId="0" applyNumberFormat="1" applyFont="1" applyFill="1" applyAlignment="1">
      <alignment horizontal="center"/>
    </xf>
    <xf numFmtId="210" fontId="4" fillId="0" borderId="45" xfId="0" applyNumberFormat="1" applyFont="1" applyFill="1" applyBorder="1" applyAlignment="1">
      <alignment horizontal="center" vertical="center" wrapText="1"/>
    </xf>
    <xf numFmtId="210" fontId="4" fillId="0" borderId="20" xfId="0" applyNumberFormat="1" applyFont="1" applyFill="1" applyBorder="1" applyAlignment="1">
      <alignment horizontal="center" vertical="center" wrapText="1"/>
    </xf>
    <xf numFmtId="49" fontId="18" fillId="0" borderId="46" xfId="0" applyNumberFormat="1" applyFont="1" applyFill="1" applyBorder="1" applyAlignment="1">
      <alignment horizontal="left"/>
    </xf>
    <xf numFmtId="210" fontId="4" fillId="0" borderId="20" xfId="0" applyNumberFormat="1" applyFont="1" applyFill="1" applyBorder="1" applyAlignment="1" applyProtection="1">
      <alignment horizontal="center" vertical="center" wrapText="1"/>
      <protection/>
    </xf>
    <xf numFmtId="0"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49" fontId="4" fillId="0" borderId="4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210" fontId="25" fillId="0" borderId="0" xfId="0" applyNumberFormat="1" applyFont="1" applyFill="1" applyAlignment="1">
      <alignment horizontal="center"/>
    </xf>
    <xf numFmtId="49" fontId="28" fillId="0" borderId="0" xfId="0" applyNumberFormat="1" applyFont="1" applyFill="1" applyAlignment="1">
      <alignment horizontal="left"/>
    </xf>
    <xf numFmtId="49" fontId="28" fillId="0" borderId="0" xfId="0" applyNumberFormat="1" applyFont="1" applyFill="1" applyBorder="1" applyAlignment="1">
      <alignment horizontal="left"/>
    </xf>
    <xf numFmtId="210" fontId="104" fillId="50" borderId="26" xfId="0" applyNumberFormat="1" applyFont="1" applyFill="1" applyBorder="1" applyAlignment="1" applyProtection="1">
      <alignment horizontal="center" vertical="center" wrapText="1"/>
      <protection/>
    </xf>
    <xf numFmtId="210" fontId="104" fillId="50" borderId="25" xfId="0" applyNumberFormat="1" applyFont="1" applyFill="1" applyBorder="1" applyAlignment="1" applyProtection="1">
      <alignment horizontal="center" vertical="center" wrapText="1"/>
      <protection/>
    </xf>
    <xf numFmtId="0" fontId="4" fillId="0" borderId="48"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210" fontId="158" fillId="0" borderId="45" xfId="0" applyNumberFormat="1" applyFont="1" applyFill="1" applyBorder="1" applyAlignment="1" applyProtection="1">
      <alignment horizontal="center" vertical="center" wrapText="1"/>
      <protection/>
    </xf>
    <xf numFmtId="210" fontId="158" fillId="0" borderId="20" xfId="0" applyNumberFormat="1" applyFont="1" applyFill="1" applyBorder="1" applyAlignment="1" applyProtection="1">
      <alignment horizontal="center" vertical="center" wrapText="1"/>
      <protection/>
    </xf>
    <xf numFmtId="210" fontId="4" fillId="0" borderId="45" xfId="0" applyNumberFormat="1" applyFont="1" applyFill="1" applyBorder="1" applyAlignment="1" applyProtection="1">
      <alignment horizontal="center" vertical="center" wrapText="1"/>
      <protection/>
    </xf>
    <xf numFmtId="210" fontId="25" fillId="0" borderId="19" xfId="0" applyNumberFormat="1" applyFont="1" applyFill="1" applyBorder="1" applyAlignment="1">
      <alignment horizontal="center"/>
    </xf>
    <xf numFmtId="210" fontId="4" fillId="0" borderId="45" xfId="0" applyNumberFormat="1" applyFont="1" applyFill="1" applyBorder="1" applyAlignment="1">
      <alignment horizontal="center" vertical="center"/>
    </xf>
    <xf numFmtId="49" fontId="19" fillId="0" borderId="49"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cellXfs>
  <cellStyles count="15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2_01" xfId="133"/>
    <cellStyle name="Normal 2_06" xfId="134"/>
    <cellStyle name="Normal 2_07" xfId="135"/>
    <cellStyle name="Normal 3" xfId="136"/>
    <cellStyle name="Normal 4" xfId="137"/>
    <cellStyle name="Normal 5" xfId="138"/>
    <cellStyle name="Normal 6" xfId="139"/>
    <cellStyle name="Normal_1. (Goc) THONG KE TT01 Toàn tỉnh Hoa Binh 6 tháng 2013" xfId="140"/>
    <cellStyle name="Normal_19 bieu m nhapcong thuc da sao 11 don vi " xfId="141"/>
    <cellStyle name="Normal_Bieu 8 - Bieu 19 toan tinh" xfId="142"/>
    <cellStyle name="Normal_Bieu mau TK tu 11 den 19 (ban phat hanh)" xfId="143"/>
    <cellStyle name="Normal_Sheet1" xfId="144"/>
    <cellStyle name="Note" xfId="145"/>
    <cellStyle name="Note 2" xfId="146"/>
    <cellStyle name="Note 3" xfId="147"/>
    <cellStyle name="Output" xfId="148"/>
    <cellStyle name="Output 2" xfId="149"/>
    <cellStyle name="Output 3" xfId="150"/>
    <cellStyle name="Percent" xfId="151"/>
    <cellStyle name="Percent 2" xfId="152"/>
    <cellStyle name="Percent 2 2" xfId="153"/>
    <cellStyle name="Percent 2 3" xfId="154"/>
    <cellStyle name="Percent 3" xfId="155"/>
    <cellStyle name="Title" xfId="156"/>
    <cellStyle name="Title 2" xfId="157"/>
    <cellStyle name="Title 3" xfId="158"/>
    <cellStyle name="Total" xfId="159"/>
    <cellStyle name="Total 2" xfId="160"/>
    <cellStyle name="Total 3" xfId="161"/>
    <cellStyle name="Warning Text" xfId="162"/>
    <cellStyle name="Warning Text 2" xfId="163"/>
    <cellStyle name="Warning Text 3"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66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66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526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526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55" t="s">
        <v>26</v>
      </c>
      <c r="B1" s="655"/>
      <c r="C1" s="659" t="s">
        <v>72</v>
      </c>
      <c r="D1" s="659"/>
      <c r="E1" s="659"/>
      <c r="F1" s="656" t="s">
        <v>68</v>
      </c>
      <c r="G1" s="656"/>
      <c r="H1" s="656"/>
    </row>
    <row r="2" spans="1:8" ht="33.75" customHeight="1">
      <c r="A2" s="657" t="s">
        <v>75</v>
      </c>
      <c r="B2" s="657"/>
      <c r="C2" s="659"/>
      <c r="D2" s="659"/>
      <c r="E2" s="659"/>
      <c r="F2" s="658" t="s">
        <v>69</v>
      </c>
      <c r="G2" s="658"/>
      <c r="H2" s="658"/>
    </row>
    <row r="3" spans="1:8" ht="19.5" customHeight="1">
      <c r="A3" s="6" t="s">
        <v>63</v>
      </c>
      <c r="B3" s="6"/>
      <c r="C3" s="24"/>
      <c r="D3" s="24"/>
      <c r="E3" s="24"/>
      <c r="F3" s="658" t="s">
        <v>70</v>
      </c>
      <c r="G3" s="658"/>
      <c r="H3" s="658"/>
    </row>
    <row r="4" spans="1:8" s="7" customFormat="1" ht="19.5" customHeight="1">
      <c r="A4" s="6"/>
      <c r="B4" s="6"/>
      <c r="D4" s="8"/>
      <c r="F4" s="9" t="s">
        <v>71</v>
      </c>
      <c r="G4" s="9"/>
      <c r="H4" s="9"/>
    </row>
    <row r="5" spans="1:8" s="23" customFormat="1" ht="36" customHeight="1">
      <c r="A5" s="637" t="s">
        <v>55</v>
      </c>
      <c r="B5" s="638"/>
      <c r="C5" s="641" t="s">
        <v>66</v>
      </c>
      <c r="D5" s="642"/>
      <c r="E5" s="643" t="s">
        <v>65</v>
      </c>
      <c r="F5" s="643"/>
      <c r="G5" s="643"/>
      <c r="H5" s="644"/>
    </row>
    <row r="6" spans="1:8" s="23" customFormat="1" ht="20.25" customHeight="1">
      <c r="A6" s="639"/>
      <c r="B6" s="640"/>
      <c r="C6" s="645" t="s">
        <v>3</v>
      </c>
      <c r="D6" s="645" t="s">
        <v>73</v>
      </c>
      <c r="E6" s="647" t="s">
        <v>67</v>
      </c>
      <c r="F6" s="644"/>
      <c r="G6" s="647" t="s">
        <v>74</v>
      </c>
      <c r="H6" s="644"/>
    </row>
    <row r="7" spans="1:8" s="23" customFormat="1" ht="52.5" customHeight="1">
      <c r="A7" s="639"/>
      <c r="B7" s="640"/>
      <c r="C7" s="646"/>
      <c r="D7" s="646"/>
      <c r="E7" s="5" t="s">
        <v>3</v>
      </c>
      <c r="F7" s="5" t="s">
        <v>9</v>
      </c>
      <c r="G7" s="5" t="s">
        <v>3</v>
      </c>
      <c r="H7" s="5" t="s">
        <v>9</v>
      </c>
    </row>
    <row r="8" spans="1:8" ht="15" customHeight="1">
      <c r="A8" s="649" t="s">
        <v>6</v>
      </c>
      <c r="B8" s="650"/>
      <c r="C8" s="10">
        <v>1</v>
      </c>
      <c r="D8" s="10" t="s">
        <v>44</v>
      </c>
      <c r="E8" s="10" t="s">
        <v>47</v>
      </c>
      <c r="F8" s="10" t="s">
        <v>56</v>
      </c>
      <c r="G8" s="10" t="s">
        <v>57</v>
      </c>
      <c r="H8" s="10" t="s">
        <v>58</v>
      </c>
    </row>
    <row r="9" spans="1:8" ht="26.25" customHeight="1">
      <c r="A9" s="651" t="s">
        <v>33</v>
      </c>
      <c r="B9" s="65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53" t="s">
        <v>54</v>
      </c>
      <c r="C16" s="653"/>
      <c r="D16" s="26"/>
      <c r="E16" s="634" t="s">
        <v>19</v>
      </c>
      <c r="F16" s="634"/>
      <c r="G16" s="634"/>
      <c r="H16" s="634"/>
    </row>
    <row r="17" spans="2:8" ht="15.75" customHeight="1">
      <c r="B17" s="653"/>
      <c r="C17" s="653"/>
      <c r="D17" s="26"/>
      <c r="E17" s="635" t="s">
        <v>38</v>
      </c>
      <c r="F17" s="635"/>
      <c r="G17" s="635"/>
      <c r="H17" s="635"/>
    </row>
    <row r="18" spans="2:8" s="27" customFormat="1" ht="15.75" customHeight="1">
      <c r="B18" s="653"/>
      <c r="C18" s="653"/>
      <c r="D18" s="28"/>
      <c r="E18" s="636" t="s">
        <v>53</v>
      </c>
      <c r="F18" s="636"/>
      <c r="G18" s="636"/>
      <c r="H18" s="636"/>
    </row>
    <row r="20" ht="15.75">
      <c r="B20" s="19"/>
    </row>
    <row r="22" ht="15.75" hidden="1">
      <c r="A22" s="20" t="s">
        <v>41</v>
      </c>
    </row>
    <row r="23" spans="1:3" ht="15.75" hidden="1">
      <c r="A23" s="21"/>
      <c r="B23" s="654" t="s">
        <v>48</v>
      </c>
      <c r="C23" s="654"/>
    </row>
    <row r="24" spans="1:8" ht="15.75" customHeight="1" hidden="1">
      <c r="A24" s="22" t="s">
        <v>25</v>
      </c>
      <c r="B24" s="648" t="s">
        <v>51</v>
      </c>
      <c r="C24" s="648"/>
      <c r="D24" s="22"/>
      <c r="E24" s="22"/>
      <c r="F24" s="22"/>
      <c r="G24" s="22"/>
      <c r="H24" s="22"/>
    </row>
    <row r="25" spans="1:8" ht="15" customHeight="1" hidden="1">
      <c r="A25" s="22"/>
      <c r="B25" s="648" t="s">
        <v>52</v>
      </c>
      <c r="C25" s="648"/>
      <c r="D25" s="648"/>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30" t="s">
        <v>223</v>
      </c>
      <c r="B1" s="830"/>
      <c r="C1" s="830"/>
      <c r="D1" s="833" t="s">
        <v>339</v>
      </c>
      <c r="E1" s="833"/>
      <c r="F1" s="833"/>
      <c r="G1" s="833"/>
      <c r="H1" s="833"/>
      <c r="I1" s="833"/>
      <c r="J1" s="191" t="s">
        <v>340</v>
      </c>
      <c r="K1" s="322"/>
      <c r="L1" s="322"/>
    </row>
    <row r="2" spans="1:12" ht="18.75" customHeight="1">
      <c r="A2" s="831" t="s">
        <v>298</v>
      </c>
      <c r="B2" s="831"/>
      <c r="C2" s="831"/>
      <c r="D2" s="914" t="s">
        <v>224</v>
      </c>
      <c r="E2" s="914"/>
      <c r="F2" s="914"/>
      <c r="G2" s="914"/>
      <c r="H2" s="914"/>
      <c r="I2" s="914"/>
      <c r="J2" s="830" t="s">
        <v>341</v>
      </c>
      <c r="K2" s="830"/>
      <c r="L2" s="830"/>
    </row>
    <row r="3" spans="1:12" ht="17.25">
      <c r="A3" s="831" t="s">
        <v>250</v>
      </c>
      <c r="B3" s="831"/>
      <c r="C3" s="831"/>
      <c r="D3" s="915" t="s">
        <v>342</v>
      </c>
      <c r="E3" s="916"/>
      <c r="F3" s="916"/>
      <c r="G3" s="916"/>
      <c r="H3" s="916"/>
      <c r="I3" s="916"/>
      <c r="J3" s="194" t="s">
        <v>358</v>
      </c>
      <c r="K3" s="194"/>
      <c r="L3" s="194"/>
    </row>
    <row r="4" spans="1:12" ht="15.75">
      <c r="A4" s="918" t="s">
        <v>343</v>
      </c>
      <c r="B4" s="918"/>
      <c r="C4" s="918"/>
      <c r="D4" s="919"/>
      <c r="E4" s="919"/>
      <c r="F4" s="919"/>
      <c r="G4" s="919"/>
      <c r="H4" s="919"/>
      <c r="I4" s="919"/>
      <c r="J4" s="817" t="s">
        <v>300</v>
      </c>
      <c r="K4" s="817"/>
      <c r="L4" s="817"/>
    </row>
    <row r="5" spans="1:13" ht="15.75">
      <c r="A5" s="324"/>
      <c r="B5" s="324"/>
      <c r="C5" s="325"/>
      <c r="D5" s="325"/>
      <c r="E5" s="193"/>
      <c r="J5" s="326" t="s">
        <v>344</v>
      </c>
      <c r="K5" s="241"/>
      <c r="L5" s="241"/>
      <c r="M5" s="241"/>
    </row>
    <row r="6" spans="1:13" s="329" customFormat="1" ht="24.75" customHeight="1">
      <c r="A6" s="922" t="s">
        <v>55</v>
      </c>
      <c r="B6" s="923"/>
      <c r="C6" s="917" t="s">
        <v>345</v>
      </c>
      <c r="D6" s="917"/>
      <c r="E6" s="917"/>
      <c r="F6" s="917"/>
      <c r="G6" s="917"/>
      <c r="H6" s="917"/>
      <c r="I6" s="917" t="s">
        <v>225</v>
      </c>
      <c r="J6" s="917"/>
      <c r="K6" s="917"/>
      <c r="L6" s="917"/>
      <c r="M6" s="328"/>
    </row>
    <row r="7" spans="1:13" s="329" customFormat="1" ht="17.25" customHeight="1">
      <c r="A7" s="924"/>
      <c r="B7" s="925"/>
      <c r="C7" s="917" t="s">
        <v>31</v>
      </c>
      <c r="D7" s="917"/>
      <c r="E7" s="917" t="s">
        <v>7</v>
      </c>
      <c r="F7" s="917"/>
      <c r="G7" s="917"/>
      <c r="H7" s="917"/>
      <c r="I7" s="917" t="s">
        <v>226</v>
      </c>
      <c r="J7" s="917"/>
      <c r="K7" s="917" t="s">
        <v>227</v>
      </c>
      <c r="L7" s="917"/>
      <c r="M7" s="328"/>
    </row>
    <row r="8" spans="1:12" s="329" customFormat="1" ht="27.75" customHeight="1">
      <c r="A8" s="924"/>
      <c r="B8" s="925"/>
      <c r="C8" s="917"/>
      <c r="D8" s="917"/>
      <c r="E8" s="917" t="s">
        <v>228</v>
      </c>
      <c r="F8" s="917"/>
      <c r="G8" s="917" t="s">
        <v>229</v>
      </c>
      <c r="H8" s="917"/>
      <c r="I8" s="917"/>
      <c r="J8" s="917"/>
      <c r="K8" s="917"/>
      <c r="L8" s="917"/>
    </row>
    <row r="9" spans="1:12" s="329" customFormat="1" ht="24.75" customHeight="1">
      <c r="A9" s="926"/>
      <c r="B9" s="927"/>
      <c r="C9" s="327" t="s">
        <v>230</v>
      </c>
      <c r="D9" s="327" t="s">
        <v>9</v>
      </c>
      <c r="E9" s="327" t="s">
        <v>3</v>
      </c>
      <c r="F9" s="327" t="s">
        <v>231</v>
      </c>
      <c r="G9" s="327" t="s">
        <v>3</v>
      </c>
      <c r="H9" s="327" t="s">
        <v>231</v>
      </c>
      <c r="I9" s="327" t="s">
        <v>3</v>
      </c>
      <c r="J9" s="327" t="s">
        <v>231</v>
      </c>
      <c r="K9" s="327" t="s">
        <v>3</v>
      </c>
      <c r="L9" s="327" t="s">
        <v>231</v>
      </c>
    </row>
    <row r="10" spans="1:12" s="331" customFormat="1" ht="15.75">
      <c r="A10" s="848" t="s">
        <v>6</v>
      </c>
      <c r="B10" s="849"/>
      <c r="C10" s="330">
        <v>1</v>
      </c>
      <c r="D10" s="330">
        <v>2</v>
      </c>
      <c r="E10" s="330">
        <v>3</v>
      </c>
      <c r="F10" s="330">
        <v>4</v>
      </c>
      <c r="G10" s="330">
        <v>5</v>
      </c>
      <c r="H10" s="330">
        <v>6</v>
      </c>
      <c r="I10" s="330">
        <v>7</v>
      </c>
      <c r="J10" s="330">
        <v>8</v>
      </c>
      <c r="K10" s="330">
        <v>9</v>
      </c>
      <c r="L10" s="330">
        <v>10</v>
      </c>
    </row>
    <row r="11" spans="1:12" s="331" customFormat="1" ht="30.75" customHeight="1">
      <c r="A11" s="827" t="s">
        <v>295</v>
      </c>
      <c r="B11" s="82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53" t="s">
        <v>296</v>
      </c>
      <c r="B12" s="854"/>
      <c r="C12" s="249">
        <v>0</v>
      </c>
      <c r="D12" s="249">
        <v>0</v>
      </c>
      <c r="E12" s="249">
        <v>0</v>
      </c>
      <c r="F12" s="249">
        <v>0</v>
      </c>
      <c r="G12" s="249">
        <v>0</v>
      </c>
      <c r="H12" s="249">
        <v>0</v>
      </c>
      <c r="I12" s="249">
        <v>0</v>
      </c>
      <c r="J12" s="249">
        <v>0</v>
      </c>
      <c r="K12" s="249">
        <v>0</v>
      </c>
      <c r="L12" s="249">
        <v>0</v>
      </c>
    </row>
    <row r="13" spans="1:32" s="331" customFormat="1" ht="17.25" customHeight="1">
      <c r="A13" s="836" t="s">
        <v>30</v>
      </c>
      <c r="B13" s="83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265</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297</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268</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269</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270</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271</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276</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278</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279</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280</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282</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843" t="s">
        <v>283</v>
      </c>
      <c r="C28" s="843"/>
      <c r="D28" s="843"/>
      <c r="E28" s="204"/>
      <c r="F28" s="258"/>
      <c r="G28" s="258"/>
      <c r="H28" s="842" t="s">
        <v>283</v>
      </c>
      <c r="I28" s="842"/>
      <c r="J28" s="842"/>
      <c r="K28" s="842"/>
      <c r="L28" s="842"/>
      <c r="AG28" s="192" t="s">
        <v>284</v>
      </c>
      <c r="AI28" s="190">
        <f>82/88</f>
        <v>0.9318181818181818</v>
      </c>
    </row>
    <row r="29" spans="1:12" s="192" customFormat="1" ht="19.5" customHeight="1">
      <c r="A29" s="202"/>
      <c r="B29" s="844" t="s">
        <v>232</v>
      </c>
      <c r="C29" s="844"/>
      <c r="D29" s="844"/>
      <c r="E29" s="204"/>
      <c r="F29" s="205"/>
      <c r="G29" s="205"/>
      <c r="H29" s="829" t="s">
        <v>150</v>
      </c>
      <c r="I29" s="829"/>
      <c r="J29" s="829"/>
      <c r="K29" s="829"/>
      <c r="L29" s="829"/>
    </row>
    <row r="30" spans="1:12" s="196" customFormat="1" ht="15" customHeight="1">
      <c r="A30" s="202"/>
      <c r="B30" s="921"/>
      <c r="C30" s="921"/>
      <c r="D30" s="921"/>
      <c r="E30" s="204"/>
      <c r="F30" s="205"/>
      <c r="G30" s="205"/>
      <c r="H30" s="794"/>
      <c r="I30" s="794"/>
      <c r="J30" s="794"/>
      <c r="K30" s="794"/>
      <c r="L30" s="79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928" t="s">
        <v>287</v>
      </c>
      <c r="C33" s="928"/>
      <c r="D33" s="928"/>
      <c r="E33" s="336"/>
      <c r="F33" s="336"/>
      <c r="G33" s="336"/>
      <c r="H33" s="336"/>
      <c r="I33" s="336"/>
      <c r="J33" s="337" t="s">
        <v>287</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920" t="s">
        <v>233</v>
      </c>
      <c r="C37" s="920"/>
      <c r="D37" s="920"/>
      <c r="E37" s="920"/>
      <c r="F37" s="920"/>
      <c r="G37" s="920"/>
      <c r="H37" s="920"/>
      <c r="I37" s="920"/>
      <c r="J37" s="920"/>
      <c r="K37" s="339"/>
      <c r="L37" s="294"/>
      <c r="M37" s="265"/>
      <c r="N37" s="265"/>
      <c r="O37" s="265"/>
    </row>
    <row r="38" spans="2:12" s="184" customFormat="1" ht="18.75" hidden="1">
      <c r="B38" s="236" t="s">
        <v>234</v>
      </c>
      <c r="C38" s="186"/>
      <c r="D38" s="186"/>
      <c r="E38" s="186"/>
      <c r="F38" s="186"/>
      <c r="G38" s="186"/>
      <c r="H38" s="186"/>
      <c r="I38" s="186"/>
      <c r="J38" s="186"/>
      <c r="K38" s="338"/>
      <c r="L38" s="186"/>
    </row>
    <row r="39" spans="2:12" ht="18.75" hidden="1">
      <c r="B39" s="340" t="s">
        <v>235</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91" t="s">
        <v>329</v>
      </c>
      <c r="C41" s="691"/>
      <c r="D41" s="691"/>
      <c r="E41" s="210"/>
      <c r="F41" s="210"/>
      <c r="G41" s="182"/>
      <c r="H41" s="692" t="s">
        <v>241</v>
      </c>
      <c r="I41" s="692"/>
      <c r="J41" s="692"/>
      <c r="K41" s="692"/>
      <c r="L41" s="692"/>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929" t="s">
        <v>371</v>
      </c>
      <c r="M1" s="930"/>
      <c r="N1" s="930"/>
      <c r="O1" s="365"/>
      <c r="P1" s="365"/>
      <c r="Q1" s="365"/>
      <c r="R1" s="365"/>
      <c r="S1" s="365"/>
      <c r="T1" s="365"/>
      <c r="U1" s="365"/>
      <c r="V1" s="365"/>
      <c r="W1" s="365"/>
      <c r="X1" s="365"/>
      <c r="Y1" s="366"/>
    </row>
    <row r="2" spans="11:17" ht="34.5" customHeight="1">
      <c r="K2" s="349"/>
      <c r="L2" s="931" t="s">
        <v>378</v>
      </c>
      <c r="M2" s="932"/>
      <c r="N2" s="933"/>
      <c r="O2" s="29"/>
      <c r="P2" s="351"/>
      <c r="Q2" s="347"/>
    </row>
    <row r="3" spans="11:18" ht="31.5" customHeight="1">
      <c r="K3" s="349"/>
      <c r="L3" s="354" t="s">
        <v>387</v>
      </c>
      <c r="M3" s="355">
        <f>'06'!C11</f>
        <v>16319</v>
      </c>
      <c r="N3" s="355"/>
      <c r="O3" s="355"/>
      <c r="P3" s="352"/>
      <c r="Q3" s="348"/>
      <c r="R3" s="345"/>
    </row>
    <row r="4" spans="11:18" ht="30" customHeight="1">
      <c r="K4" s="349"/>
      <c r="L4" s="356" t="s">
        <v>372</v>
      </c>
      <c r="M4" s="357">
        <f>'06'!D11</f>
        <v>8724</v>
      </c>
      <c r="N4" s="355"/>
      <c r="O4" s="355"/>
      <c r="P4" s="352"/>
      <c r="Q4" s="348"/>
      <c r="R4" s="345"/>
    </row>
    <row r="5" spans="11:18" ht="31.5" customHeight="1">
      <c r="K5" s="349"/>
      <c r="L5" s="356" t="s">
        <v>373</v>
      </c>
      <c r="M5" s="357">
        <f>'06'!E11</f>
        <v>7595</v>
      </c>
      <c r="N5" s="355"/>
      <c r="O5" s="355"/>
      <c r="P5" s="352"/>
      <c r="Q5" s="348"/>
      <c r="R5" s="345"/>
    </row>
    <row r="6" spans="11:18" ht="27" customHeight="1">
      <c r="K6" s="349"/>
      <c r="L6" s="354" t="s">
        <v>374</v>
      </c>
      <c r="M6" s="355">
        <f>'06'!F11</f>
        <v>283</v>
      </c>
      <c r="N6" s="355"/>
      <c r="O6" s="355"/>
      <c r="P6" s="352"/>
      <c r="Q6" s="348"/>
      <c r="R6" s="345"/>
    </row>
    <row r="7" spans="11:18" s="342" customFormat="1" ht="30" customHeight="1">
      <c r="K7" s="350"/>
      <c r="L7" s="358" t="s">
        <v>389</v>
      </c>
      <c r="M7" s="355">
        <f>'06'!H11</f>
        <v>16036</v>
      </c>
      <c r="N7" s="355"/>
      <c r="O7" s="355"/>
      <c r="P7" s="352"/>
      <c r="Q7" s="348"/>
      <c r="R7" s="345"/>
    </row>
    <row r="8" spans="11:18" ht="30.75" customHeight="1">
      <c r="K8" s="349"/>
      <c r="L8" s="359" t="s">
        <v>388</v>
      </c>
      <c r="M8" s="360">
        <f>'[7]M6 Tong hop Viec CHV '!$C$12</f>
        <v>1489</v>
      </c>
      <c r="N8" s="355"/>
      <c r="O8" s="355"/>
      <c r="P8" s="352"/>
      <c r="Q8" s="348"/>
      <c r="R8" s="345"/>
    </row>
    <row r="9" spans="11:18" ht="33" customHeight="1">
      <c r="K9" s="349"/>
      <c r="L9" s="367" t="s">
        <v>391</v>
      </c>
      <c r="M9" s="368">
        <f>(M7-M8)/M8</f>
        <v>9.7696440564137</v>
      </c>
      <c r="N9" s="355"/>
      <c r="O9" s="355"/>
      <c r="P9" s="352"/>
      <c r="Q9" s="348"/>
      <c r="R9" s="345"/>
    </row>
    <row r="10" spans="11:18" ht="33" customHeight="1">
      <c r="K10" s="349"/>
      <c r="L10" s="354" t="s">
        <v>390</v>
      </c>
      <c r="M10" s="355">
        <f>'06'!I11</f>
        <v>11209</v>
      </c>
      <c r="N10" s="355" t="s">
        <v>375</v>
      </c>
      <c r="O10" s="361">
        <f>M10/M7</f>
        <v>0.6989897730107258</v>
      </c>
      <c r="P10" s="352"/>
      <c r="Q10" s="348"/>
      <c r="R10" s="345"/>
    </row>
    <row r="11" spans="11:18" ht="22.5" customHeight="1">
      <c r="K11" s="349"/>
      <c r="L11" s="354" t="s">
        <v>392</v>
      </c>
      <c r="M11" s="355">
        <f>'06'!Q11</f>
        <v>4827</v>
      </c>
      <c r="N11" s="355" t="s">
        <v>375</v>
      </c>
      <c r="O11" s="361">
        <f>M11/M7</f>
        <v>0.30101022698927415</v>
      </c>
      <c r="P11" s="352"/>
      <c r="Q11" s="348"/>
      <c r="R11" s="345"/>
    </row>
    <row r="12" spans="11:18" ht="34.5" customHeight="1">
      <c r="K12" s="349"/>
      <c r="L12" s="354" t="s">
        <v>393</v>
      </c>
      <c r="M12" s="355">
        <f>'06'!J11+'06'!K11</f>
        <v>7267</v>
      </c>
      <c r="N12" s="354"/>
      <c r="O12" s="354"/>
      <c r="P12" s="346"/>
      <c r="R12" s="346"/>
    </row>
    <row r="13" spans="11:18" ht="33.75" customHeight="1">
      <c r="K13" s="349"/>
      <c r="L13" s="354" t="s">
        <v>394</v>
      </c>
      <c r="M13" s="361">
        <f>M12/M7</f>
        <v>0.45316787228735345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395</v>
      </c>
      <c r="M16" s="360">
        <f>'[7]M6 Tong hop Viec CHV '!$H$12+'[7]M6 Tong hop Viec CHV '!$I$12+'[7]M6 Tong hop Viec CHV '!$K$12</f>
        <v>749</v>
      </c>
      <c r="N16" s="355"/>
      <c r="O16" s="355"/>
      <c r="P16" s="352"/>
      <c r="R16" s="346"/>
    </row>
    <row r="17" spans="11:18" ht="24.75" customHeight="1">
      <c r="K17" s="349"/>
      <c r="L17" s="367" t="s">
        <v>396</v>
      </c>
      <c r="M17" s="362">
        <f>M16/M8</f>
        <v>0.5030221625251847</v>
      </c>
      <c r="N17" s="355"/>
      <c r="O17" s="355"/>
      <c r="P17" s="352"/>
      <c r="R17" s="346"/>
    </row>
    <row r="18" spans="11:18" ht="26.25" customHeight="1">
      <c r="K18" s="349"/>
      <c r="L18" s="367" t="s">
        <v>376</v>
      </c>
      <c r="M18" s="368">
        <f>M13-M17</f>
        <v>-0.04985429023783128</v>
      </c>
      <c r="N18" s="355"/>
      <c r="O18" s="355"/>
      <c r="P18" s="352"/>
      <c r="R18" s="346"/>
    </row>
    <row r="19" spans="11:18" ht="24.75" customHeight="1">
      <c r="K19" s="349"/>
      <c r="L19" s="354" t="s">
        <v>397</v>
      </c>
      <c r="M19" s="355">
        <f>'06'!J11</f>
        <v>7004</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398</v>
      </c>
      <c r="M26" s="361">
        <f>M19/'06'!I11</f>
        <v>0.6248550272102774</v>
      </c>
      <c r="N26" s="355"/>
      <c r="O26" s="355"/>
      <c r="P26" s="352"/>
      <c r="R26" s="346"/>
    </row>
    <row r="27" spans="11:18" ht="24.75" customHeight="1">
      <c r="K27" s="349"/>
      <c r="L27" s="359" t="s">
        <v>399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400</v>
      </c>
      <c r="M30" s="361">
        <f>M26-M27</f>
        <v>-0.047806843293319745</v>
      </c>
      <c r="N30" s="355"/>
      <c r="O30" s="355"/>
      <c r="P30" s="352"/>
      <c r="R30" s="346"/>
    </row>
    <row r="31" spans="11:18" ht="24.75" customHeight="1">
      <c r="K31" s="349"/>
      <c r="L31" s="354" t="s">
        <v>401</v>
      </c>
      <c r="M31" s="355">
        <f>'06'!R11</f>
        <v>8769</v>
      </c>
      <c r="N31" s="355"/>
      <c r="O31" s="355"/>
      <c r="P31" s="352"/>
      <c r="R31" s="346"/>
    </row>
    <row r="32" spans="11:18" ht="24.75" customHeight="1">
      <c r="K32" s="349"/>
      <c r="L32" s="359" t="s">
        <v>402</v>
      </c>
      <c r="M32" s="360">
        <f>'[7]M6 Tong hop Viec CHV '!$R$12</f>
        <v>719</v>
      </c>
      <c r="N32" s="355"/>
      <c r="O32" s="355"/>
      <c r="P32" s="352"/>
      <c r="R32" s="346"/>
    </row>
    <row r="33" spans="11:18" ht="24.75" customHeight="1">
      <c r="K33" s="349"/>
      <c r="L33" s="367" t="s">
        <v>403</v>
      </c>
      <c r="M33" s="369">
        <f>M31-M32</f>
        <v>8050</v>
      </c>
      <c r="N33" s="369" t="s">
        <v>377</v>
      </c>
      <c r="O33" s="368">
        <f>(M31-M32)/M32</f>
        <v>11.196105702364395</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379</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404</v>
      </c>
      <c r="M42" s="355">
        <f>'07'!C11</f>
        <v>4506931344</v>
      </c>
      <c r="N42" s="355"/>
      <c r="O42" s="355"/>
      <c r="P42" s="346"/>
      <c r="R42" s="346"/>
    </row>
    <row r="43" spans="11:18" ht="24.75" customHeight="1">
      <c r="K43" s="349"/>
      <c r="L43" s="363" t="s">
        <v>98</v>
      </c>
      <c r="M43" s="355">
        <f>'07'!D11</f>
        <v>2823537944</v>
      </c>
      <c r="N43" s="355"/>
      <c r="O43" s="355"/>
      <c r="P43" s="346"/>
      <c r="R43" s="346"/>
    </row>
    <row r="44" spans="11:18" ht="24.75" customHeight="1">
      <c r="K44" s="349"/>
      <c r="L44" s="363" t="s">
        <v>373</v>
      </c>
      <c r="M44" s="355">
        <f>'07'!E11</f>
        <v>1683393400</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405</v>
      </c>
      <c r="M47" s="355">
        <f>'07'!F11</f>
        <v>413371679</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406</v>
      </c>
      <c r="M50" s="355">
        <f>'07'!H11</f>
        <v>4093559665</v>
      </c>
      <c r="N50" s="355"/>
      <c r="O50" s="355"/>
      <c r="P50" s="346"/>
      <c r="R50" s="346"/>
    </row>
    <row r="51" spans="11:18" ht="24.75" customHeight="1">
      <c r="K51" s="349"/>
      <c r="L51" s="364" t="s">
        <v>407</v>
      </c>
      <c r="M51" s="360">
        <f>'[7]M7 Thop tien CHV'!$C$12</f>
        <v>54227822.442</v>
      </c>
      <c r="N51" s="355"/>
      <c r="O51" s="355"/>
      <c r="P51" s="346"/>
      <c r="R51" s="346"/>
    </row>
    <row r="52" spans="11:18" ht="24.75" customHeight="1">
      <c r="K52" s="349"/>
      <c r="L52" s="377" t="s">
        <v>380</v>
      </c>
      <c r="M52" s="369">
        <f>M50-M51</f>
        <v>4039331842.558</v>
      </c>
      <c r="N52" s="355"/>
      <c r="O52" s="355"/>
      <c r="P52" s="346"/>
      <c r="R52" s="346"/>
    </row>
    <row r="53" spans="11:18" ht="24.75" customHeight="1">
      <c r="K53" s="349"/>
      <c r="L53" s="377" t="s">
        <v>381</v>
      </c>
      <c r="M53" s="368">
        <f>(M52/M51)</f>
        <v>74.48818080199172</v>
      </c>
      <c r="N53" s="355"/>
      <c r="O53" s="355"/>
      <c r="P53" s="346"/>
      <c r="R53" s="346"/>
    </row>
    <row r="54" spans="11:18" ht="24.75" customHeight="1">
      <c r="K54" s="349"/>
      <c r="L54" s="363" t="s">
        <v>408</v>
      </c>
      <c r="M54" s="355">
        <f>'07'!I11</f>
        <v>3106321578</v>
      </c>
      <c r="N54" s="355" t="s">
        <v>382</v>
      </c>
      <c r="O54" s="361">
        <f>'07'!I11/'07'!H11</f>
        <v>0.7588313917979744</v>
      </c>
      <c r="P54" s="346"/>
      <c r="R54" s="346"/>
    </row>
    <row r="55" spans="11:18" ht="24.75" customHeight="1">
      <c r="K55" s="349"/>
      <c r="L55" s="363" t="s">
        <v>409</v>
      </c>
      <c r="M55" s="355">
        <f>'07'!R11</f>
        <v>987238087</v>
      </c>
      <c r="N55" s="355" t="s">
        <v>382</v>
      </c>
      <c r="O55" s="361">
        <f>'07'!R11/'07'!H11</f>
        <v>0.24116860820202557</v>
      </c>
      <c r="P55" s="346"/>
      <c r="R55" s="346"/>
    </row>
    <row r="56" spans="11:18" ht="24.75" customHeight="1">
      <c r="K56" s="349"/>
      <c r="L56" s="363" t="s">
        <v>410</v>
      </c>
      <c r="M56" s="355">
        <f>'07'!J11+'07'!K11+'07'!L11</f>
        <v>656748771</v>
      </c>
      <c r="N56" s="355" t="s">
        <v>382</v>
      </c>
      <c r="O56" s="361">
        <f>M56/'07'!H11</f>
        <v>0.16043463995778842</v>
      </c>
      <c r="P56" s="346"/>
      <c r="R56" s="346"/>
    </row>
    <row r="57" spans="11:18" ht="24.75" customHeight="1">
      <c r="K57" s="349"/>
      <c r="L57" s="364" t="s">
        <v>411</v>
      </c>
      <c r="M57" s="360">
        <f>'[7]M7 Thop tien CHV'!$H$12+'[7]M7 Thop tien CHV'!$I$12+'[7]M7 Thop tien CHV'!$K$12</f>
        <v>2217726.5</v>
      </c>
      <c r="N57" s="360" t="s">
        <v>382</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412</v>
      </c>
      <c r="M60" s="368">
        <f>O56-O57</f>
        <v>0.11953817020977309</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413</v>
      </c>
      <c r="M63" s="355">
        <f>'07'!J11</f>
        <v>517072971</v>
      </c>
      <c r="N63" s="355" t="s">
        <v>383</v>
      </c>
      <c r="O63" s="361">
        <f>'07'!J11/'07'!I11</f>
        <v>0.16645828772593357</v>
      </c>
      <c r="P63" s="346"/>
      <c r="R63" s="346"/>
    </row>
    <row r="64" spans="11:16" ht="24.75" customHeight="1">
      <c r="K64" s="349"/>
      <c r="L64" s="364" t="s">
        <v>414</v>
      </c>
      <c r="M64" s="360">
        <f>'[7]M7 Thop tien CHV'!$H$12</f>
        <v>2212774.5</v>
      </c>
      <c r="N64" s="360" t="s">
        <v>384</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415</v>
      </c>
      <c r="M68" s="368">
        <f>O63-O64</f>
        <v>0.1522147864061199</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416</v>
      </c>
      <c r="M72" s="355">
        <f>'07'!S11</f>
        <v>3436810894</v>
      </c>
      <c r="N72" s="355"/>
      <c r="O72" s="355"/>
      <c r="P72" s="346"/>
    </row>
    <row r="73" spans="11:16" ht="24.75" customHeight="1">
      <c r="K73" s="349"/>
      <c r="L73" s="364" t="s">
        <v>417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385</v>
      </c>
      <c r="M76" s="369">
        <f>M72-M73</f>
        <v>3388684083.638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386</v>
      </c>
      <c r="M79" s="368">
        <f>M76/M73</f>
        <v>70.41156598887424</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F4" sqref="F4"/>
    </sheetView>
  </sheetViews>
  <sheetFormatPr defaultColWidth="9.00390625" defaultRowHeight="15.75"/>
  <cols>
    <col min="1" max="1" width="23.50390625" style="0" customWidth="1"/>
    <col min="2" max="2" width="66.125" style="0" customWidth="1"/>
  </cols>
  <sheetData>
    <row r="2" spans="1:2" ht="62.25" customHeight="1">
      <c r="A2" s="934" t="s">
        <v>431</v>
      </c>
      <c r="B2" s="934"/>
    </row>
    <row r="3" spans="1:2" ht="22.5" customHeight="1">
      <c r="A3" s="387" t="s">
        <v>419</v>
      </c>
      <c r="B3" s="397" t="s">
        <v>589</v>
      </c>
    </row>
    <row r="4" spans="1:2" ht="22.5" customHeight="1">
      <c r="A4" s="387" t="s">
        <v>418</v>
      </c>
      <c r="B4" s="388" t="s">
        <v>553</v>
      </c>
    </row>
    <row r="5" spans="1:2" ht="22.5" customHeight="1">
      <c r="A5" s="387" t="s">
        <v>420</v>
      </c>
      <c r="B5" s="396" t="s">
        <v>552</v>
      </c>
    </row>
    <row r="6" spans="1:2" ht="22.5" customHeight="1">
      <c r="A6" s="387" t="s">
        <v>421</v>
      </c>
      <c r="B6" s="396" t="s">
        <v>434</v>
      </c>
    </row>
    <row r="7" spans="1:2" ht="34.5" customHeight="1">
      <c r="A7" s="387" t="s">
        <v>422</v>
      </c>
      <c r="B7" s="410" t="s">
        <v>554</v>
      </c>
    </row>
    <row r="8" spans="1:2" ht="15.75">
      <c r="A8" s="389" t="s">
        <v>423</v>
      </c>
      <c r="B8" s="411" t="s">
        <v>588</v>
      </c>
    </row>
    <row r="10" spans="1:2" ht="62.25" customHeight="1">
      <c r="A10" s="935" t="s">
        <v>433</v>
      </c>
      <c r="B10" s="935"/>
    </row>
    <row r="11" spans="1:2" ht="15.75">
      <c r="A11" s="936" t="s">
        <v>430</v>
      </c>
      <c r="B11" s="93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123"/>
  <sheetViews>
    <sheetView showZeros="0" view="pageBreakPreview" zoomScale="85" zoomScaleSheetLayoutView="85" zoomScalePageLayoutView="0" workbookViewId="0" topLeftCell="A11">
      <selection activeCell="A18" sqref="A18:A19"/>
    </sheetView>
  </sheetViews>
  <sheetFormatPr defaultColWidth="9.00390625" defaultRowHeight="15.75"/>
  <cols>
    <col min="1" max="1" width="4.125" style="398" customWidth="1"/>
    <col min="2" max="2" width="20.375" style="398" customWidth="1"/>
    <col min="3" max="3" width="9.625" style="451" customWidth="1"/>
    <col min="4" max="5" width="7.375" style="23" customWidth="1"/>
    <col min="6" max="6" width="6.50390625" style="23" customWidth="1"/>
    <col min="7" max="7" width="6.75390625" style="23" customWidth="1"/>
    <col min="8" max="8" width="8.875" style="451" customWidth="1"/>
    <col min="9" max="9" width="7.875" style="451" customWidth="1"/>
    <col min="10" max="11" width="6.25390625" style="23" customWidth="1"/>
    <col min="12" max="12" width="5.75390625" style="23" customWidth="1"/>
    <col min="13" max="14" width="5.875" style="23" customWidth="1"/>
    <col min="15" max="15" width="6.125" style="23" customWidth="1"/>
    <col min="16" max="16" width="6.00390625" style="23" customWidth="1"/>
    <col min="17" max="17" width="7.50390625" style="451" customWidth="1"/>
    <col min="18" max="18" width="8.75390625" style="451" customWidth="1"/>
    <col min="19" max="19" width="8.625" style="23" customWidth="1"/>
    <col min="20" max="20" width="9.00390625" style="415" customWidth="1"/>
    <col min="21" max="16384" width="9.00390625" style="23" customWidth="1"/>
  </cols>
  <sheetData>
    <row r="1" spans="1:19" ht="20.25" customHeight="1">
      <c r="A1" s="398" t="s">
        <v>27</v>
      </c>
      <c r="C1" s="450"/>
      <c r="E1" s="948" t="s">
        <v>64</v>
      </c>
      <c r="F1" s="948"/>
      <c r="G1" s="948"/>
      <c r="H1" s="948"/>
      <c r="I1" s="948"/>
      <c r="J1" s="948"/>
      <c r="K1" s="948"/>
      <c r="L1" s="948"/>
      <c r="M1" s="948"/>
      <c r="N1" s="948"/>
      <c r="O1" s="948"/>
      <c r="P1" s="378" t="s">
        <v>425</v>
      </c>
      <c r="Q1" s="473"/>
      <c r="R1" s="473"/>
      <c r="S1" s="378"/>
    </row>
    <row r="2" spans="1:19" ht="17.25" customHeight="1">
      <c r="A2" s="959" t="s">
        <v>237</v>
      </c>
      <c r="B2" s="959"/>
      <c r="C2" s="959"/>
      <c r="D2" s="959"/>
      <c r="E2" s="949" t="s">
        <v>34</v>
      </c>
      <c r="F2" s="949"/>
      <c r="G2" s="949"/>
      <c r="H2" s="949"/>
      <c r="I2" s="949"/>
      <c r="J2" s="949"/>
      <c r="K2" s="949"/>
      <c r="L2" s="949"/>
      <c r="M2" s="949"/>
      <c r="N2" s="949"/>
      <c r="O2" s="949"/>
      <c r="P2" s="958" t="str">
        <f>'Thong tin'!B4</f>
        <v>CTHADS Hải Phòng</v>
      </c>
      <c r="Q2" s="958"/>
      <c r="R2" s="958"/>
      <c r="S2" s="958"/>
    </row>
    <row r="3" spans="1:19" ht="19.5" customHeight="1">
      <c r="A3" s="959" t="s">
        <v>238</v>
      </c>
      <c r="B3" s="959"/>
      <c r="C3" s="959"/>
      <c r="D3" s="959"/>
      <c r="E3" s="950" t="str">
        <f>'Thong tin'!B3</f>
        <v>11 tháng / năm 2016</v>
      </c>
      <c r="F3" s="950"/>
      <c r="G3" s="950"/>
      <c r="H3" s="950"/>
      <c r="I3" s="950"/>
      <c r="J3" s="950"/>
      <c r="K3" s="950"/>
      <c r="L3" s="950"/>
      <c r="M3" s="950"/>
      <c r="N3" s="950"/>
      <c r="O3" s="950"/>
      <c r="P3" s="378" t="s">
        <v>550</v>
      </c>
      <c r="Q3" s="450"/>
      <c r="R3" s="473"/>
      <c r="S3" s="378"/>
    </row>
    <row r="4" spans="1:19" ht="14.25" customHeight="1">
      <c r="A4" s="399" t="s">
        <v>116</v>
      </c>
      <c r="C4" s="450"/>
      <c r="D4" s="379"/>
      <c r="E4" s="379"/>
      <c r="F4" s="379"/>
      <c r="G4" s="379"/>
      <c r="H4" s="450"/>
      <c r="I4" s="450"/>
      <c r="J4" s="379"/>
      <c r="K4" s="379"/>
      <c r="L4" s="379"/>
      <c r="M4" s="379"/>
      <c r="N4" s="381"/>
      <c r="O4" s="381"/>
      <c r="P4" s="945" t="s">
        <v>300</v>
      </c>
      <c r="Q4" s="945"/>
      <c r="R4" s="945"/>
      <c r="S4" s="945"/>
    </row>
    <row r="5" spans="17:19" ht="11.25" customHeight="1">
      <c r="Q5" s="474" t="s">
        <v>236</v>
      </c>
      <c r="R5" s="475"/>
      <c r="S5" s="382"/>
    </row>
    <row r="6" spans="1:19" ht="19.5" customHeight="1">
      <c r="A6" s="952" t="s">
        <v>55</v>
      </c>
      <c r="B6" s="953"/>
      <c r="C6" s="947" t="s">
        <v>117</v>
      </c>
      <c r="D6" s="947"/>
      <c r="E6" s="947"/>
      <c r="F6" s="951" t="s">
        <v>99</v>
      </c>
      <c r="G6" s="951" t="s">
        <v>118</v>
      </c>
      <c r="H6" s="960" t="s">
        <v>100</v>
      </c>
      <c r="I6" s="960"/>
      <c r="J6" s="960"/>
      <c r="K6" s="960"/>
      <c r="L6" s="960"/>
      <c r="M6" s="960"/>
      <c r="N6" s="960"/>
      <c r="O6" s="960"/>
      <c r="P6" s="960"/>
      <c r="Q6" s="960"/>
      <c r="R6" s="943" t="s">
        <v>242</v>
      </c>
      <c r="S6" s="947" t="s">
        <v>427</v>
      </c>
    </row>
    <row r="7" spans="1:20" s="378" customFormat="1" ht="27" customHeight="1">
      <c r="A7" s="954"/>
      <c r="B7" s="955"/>
      <c r="C7" s="943" t="s">
        <v>42</v>
      </c>
      <c r="D7" s="947" t="s">
        <v>7</v>
      </c>
      <c r="E7" s="947"/>
      <c r="F7" s="951"/>
      <c r="G7" s="951"/>
      <c r="H7" s="940" t="s">
        <v>100</v>
      </c>
      <c r="I7" s="947" t="s">
        <v>101</v>
      </c>
      <c r="J7" s="947"/>
      <c r="K7" s="947"/>
      <c r="L7" s="947"/>
      <c r="M7" s="947"/>
      <c r="N7" s="947"/>
      <c r="O7" s="947"/>
      <c r="P7" s="947"/>
      <c r="Q7" s="940" t="s">
        <v>110</v>
      </c>
      <c r="R7" s="943"/>
      <c r="S7" s="947"/>
      <c r="T7" s="416"/>
    </row>
    <row r="8" spans="1:19" ht="21.75" customHeight="1">
      <c r="A8" s="954"/>
      <c r="B8" s="955"/>
      <c r="C8" s="943"/>
      <c r="D8" s="947" t="s">
        <v>120</v>
      </c>
      <c r="E8" s="947" t="s">
        <v>121</v>
      </c>
      <c r="F8" s="951"/>
      <c r="G8" s="951"/>
      <c r="H8" s="940"/>
      <c r="I8" s="940" t="s">
        <v>426</v>
      </c>
      <c r="J8" s="947" t="s">
        <v>7</v>
      </c>
      <c r="K8" s="947"/>
      <c r="L8" s="947"/>
      <c r="M8" s="947"/>
      <c r="N8" s="947"/>
      <c r="O8" s="947"/>
      <c r="P8" s="947"/>
      <c r="Q8" s="940"/>
      <c r="R8" s="943"/>
      <c r="S8" s="947"/>
    </row>
    <row r="9" spans="1:19" ht="84" customHeight="1">
      <c r="A9" s="956"/>
      <c r="B9" s="957"/>
      <c r="C9" s="943"/>
      <c r="D9" s="947"/>
      <c r="E9" s="947"/>
      <c r="F9" s="951"/>
      <c r="G9" s="951"/>
      <c r="H9" s="940"/>
      <c r="I9" s="940"/>
      <c r="J9" s="383" t="s">
        <v>122</v>
      </c>
      <c r="K9" s="383" t="s">
        <v>123</v>
      </c>
      <c r="L9" s="384" t="s">
        <v>103</v>
      </c>
      <c r="M9" s="384" t="s">
        <v>124</v>
      </c>
      <c r="N9" s="384" t="s">
        <v>106</v>
      </c>
      <c r="O9" s="384" t="s">
        <v>243</v>
      </c>
      <c r="P9" s="384" t="s">
        <v>109</v>
      </c>
      <c r="Q9" s="940"/>
      <c r="R9" s="943"/>
      <c r="S9" s="947"/>
    </row>
    <row r="10" spans="1:19" ht="22.5" customHeight="1">
      <c r="A10" s="938" t="s">
        <v>6</v>
      </c>
      <c r="B10" s="939"/>
      <c r="C10" s="452">
        <v>1</v>
      </c>
      <c r="D10" s="385">
        <v>2</v>
      </c>
      <c r="E10" s="385">
        <v>3</v>
      </c>
      <c r="F10" s="385">
        <v>4</v>
      </c>
      <c r="G10" s="385">
        <v>5</v>
      </c>
      <c r="H10" s="452">
        <v>6</v>
      </c>
      <c r="I10" s="452">
        <v>7</v>
      </c>
      <c r="J10" s="385">
        <v>8</v>
      </c>
      <c r="K10" s="385">
        <v>9</v>
      </c>
      <c r="L10" s="385">
        <v>10</v>
      </c>
      <c r="M10" s="385">
        <v>11</v>
      </c>
      <c r="N10" s="385">
        <v>12</v>
      </c>
      <c r="O10" s="385">
        <v>13</v>
      </c>
      <c r="P10" s="385">
        <v>14</v>
      </c>
      <c r="Q10" s="452">
        <v>15</v>
      </c>
      <c r="R10" s="452">
        <v>16</v>
      </c>
      <c r="S10" s="386">
        <v>17</v>
      </c>
    </row>
    <row r="11" spans="1:20" s="534" customFormat="1" ht="23.25" customHeight="1">
      <c r="A11" s="941" t="s">
        <v>30</v>
      </c>
      <c r="B11" s="942"/>
      <c r="C11" s="532">
        <f aca="true" t="shared" si="0" ref="C11:Q11">C12+C31</f>
        <v>16319</v>
      </c>
      <c r="D11" s="417">
        <f t="shared" si="0"/>
        <v>8724</v>
      </c>
      <c r="E11" s="417">
        <f t="shared" si="0"/>
        <v>7595</v>
      </c>
      <c r="F11" s="417">
        <f t="shared" si="0"/>
        <v>283</v>
      </c>
      <c r="G11" s="417">
        <f t="shared" si="0"/>
        <v>10</v>
      </c>
      <c r="H11" s="532">
        <f t="shared" si="0"/>
        <v>16036</v>
      </c>
      <c r="I11" s="532">
        <f t="shared" si="0"/>
        <v>11209</v>
      </c>
      <c r="J11" s="417">
        <f t="shared" si="0"/>
        <v>7004</v>
      </c>
      <c r="K11" s="417">
        <f t="shared" si="0"/>
        <v>263</v>
      </c>
      <c r="L11" s="417">
        <f t="shared" si="0"/>
        <v>3825</v>
      </c>
      <c r="M11" s="417">
        <f t="shared" si="0"/>
        <v>72</v>
      </c>
      <c r="N11" s="417">
        <f t="shared" si="0"/>
        <v>3</v>
      </c>
      <c r="O11" s="417">
        <f t="shared" si="0"/>
        <v>0</v>
      </c>
      <c r="P11" s="417">
        <f t="shared" si="0"/>
        <v>42</v>
      </c>
      <c r="Q11" s="532">
        <f t="shared" si="0"/>
        <v>4827</v>
      </c>
      <c r="R11" s="477">
        <f>H11-J11-K11</f>
        <v>8769</v>
      </c>
      <c r="S11" s="461">
        <f aca="true" t="shared" si="1" ref="S11:S74">(J11+K11)/I11*100</f>
        <v>64.83183156392185</v>
      </c>
      <c r="T11" s="533">
        <f>C11-F11-H11</f>
        <v>0</v>
      </c>
    </row>
    <row r="12" spans="1:20" s="446" customFormat="1" ht="23.25" customHeight="1">
      <c r="A12" s="437" t="s">
        <v>0</v>
      </c>
      <c r="B12" s="438" t="s">
        <v>78</v>
      </c>
      <c r="C12" s="454">
        <f aca="true" t="shared" si="2" ref="C12:Q12">SUM(C13:C30)</f>
        <v>667</v>
      </c>
      <c r="D12" s="471">
        <f t="shared" si="2"/>
        <v>133</v>
      </c>
      <c r="E12" s="471">
        <f t="shared" si="2"/>
        <v>534</v>
      </c>
      <c r="F12" s="471">
        <f t="shared" si="2"/>
        <v>67</v>
      </c>
      <c r="G12" s="471">
        <f t="shared" si="2"/>
        <v>0</v>
      </c>
      <c r="H12" s="454">
        <f t="shared" si="2"/>
        <v>600</v>
      </c>
      <c r="I12" s="454">
        <f t="shared" si="2"/>
        <v>593</v>
      </c>
      <c r="J12" s="471">
        <f t="shared" si="2"/>
        <v>339</v>
      </c>
      <c r="K12" s="471">
        <f t="shared" si="2"/>
        <v>3</v>
      </c>
      <c r="L12" s="471">
        <f t="shared" si="2"/>
        <v>251</v>
      </c>
      <c r="M12" s="471">
        <f t="shared" si="2"/>
        <v>0</v>
      </c>
      <c r="N12" s="471">
        <f t="shared" si="2"/>
        <v>0</v>
      </c>
      <c r="O12" s="471">
        <f t="shared" si="2"/>
        <v>0</v>
      </c>
      <c r="P12" s="471">
        <f t="shared" si="2"/>
        <v>0</v>
      </c>
      <c r="Q12" s="454">
        <f t="shared" si="2"/>
        <v>7</v>
      </c>
      <c r="R12" s="476">
        <f aca="true" t="shared" si="3" ref="R12:R73">H12-J12-K12</f>
        <v>258</v>
      </c>
      <c r="S12" s="460">
        <f t="shared" si="1"/>
        <v>57.67284991568297</v>
      </c>
      <c r="T12" s="447">
        <f aca="true" t="shared" si="4" ref="T12:T74">C12-F12-H12</f>
        <v>0</v>
      </c>
    </row>
    <row r="13" spans="1:20" s="534" customFormat="1" ht="23.25" customHeight="1">
      <c r="A13" s="439" t="s">
        <v>45</v>
      </c>
      <c r="B13" s="440" t="s">
        <v>436</v>
      </c>
      <c r="C13" s="536">
        <f>D13+E13</f>
        <v>12</v>
      </c>
      <c r="D13" s="537">
        <v>0</v>
      </c>
      <c r="E13" s="537">
        <v>12</v>
      </c>
      <c r="F13" s="538"/>
      <c r="G13" s="537"/>
      <c r="H13" s="536">
        <f>I13+Q13</f>
        <v>12</v>
      </c>
      <c r="I13" s="536">
        <f>SUM(J13:P13)</f>
        <v>12</v>
      </c>
      <c r="J13" s="537">
        <v>9</v>
      </c>
      <c r="K13" s="537"/>
      <c r="L13" s="537">
        <v>3</v>
      </c>
      <c r="M13" s="537"/>
      <c r="N13" s="539"/>
      <c r="O13" s="537"/>
      <c r="P13" s="537"/>
      <c r="Q13" s="537"/>
      <c r="R13" s="477">
        <f t="shared" si="3"/>
        <v>3</v>
      </c>
      <c r="S13" s="461">
        <f t="shared" si="1"/>
        <v>75</v>
      </c>
      <c r="T13" s="533">
        <f t="shared" si="4"/>
        <v>0</v>
      </c>
    </row>
    <row r="14" spans="1:20" s="534" customFormat="1" ht="23.25" customHeight="1">
      <c r="A14" s="439" t="s">
        <v>46</v>
      </c>
      <c r="B14" s="440" t="s">
        <v>437</v>
      </c>
      <c r="C14" s="536">
        <f aca="true" t="shared" si="5" ref="C14:C30">D14+E14</f>
        <v>8</v>
      </c>
      <c r="D14" s="537">
        <v>2</v>
      </c>
      <c r="E14" s="537">
        <v>6</v>
      </c>
      <c r="F14" s="538"/>
      <c r="G14" s="537"/>
      <c r="H14" s="536">
        <f aca="true" t="shared" si="6" ref="H14:H30">I14+Q14</f>
        <v>8</v>
      </c>
      <c r="I14" s="536">
        <f aca="true" t="shared" si="7" ref="I14:I30">SUM(J14:P14)</f>
        <v>8</v>
      </c>
      <c r="J14" s="537">
        <v>6</v>
      </c>
      <c r="K14" s="537"/>
      <c r="L14" s="537">
        <v>2</v>
      </c>
      <c r="M14" s="537"/>
      <c r="N14" s="539"/>
      <c r="O14" s="537"/>
      <c r="P14" s="537"/>
      <c r="Q14" s="537"/>
      <c r="R14" s="477">
        <f t="shared" si="3"/>
        <v>2</v>
      </c>
      <c r="S14" s="461">
        <f t="shared" si="1"/>
        <v>75</v>
      </c>
      <c r="T14" s="533">
        <f t="shared" si="4"/>
        <v>0</v>
      </c>
    </row>
    <row r="15" spans="1:20" s="534" customFormat="1" ht="23.25" customHeight="1">
      <c r="A15" s="439" t="s">
        <v>102</v>
      </c>
      <c r="B15" s="440" t="s">
        <v>434</v>
      </c>
      <c r="C15" s="536">
        <f t="shared" si="5"/>
        <v>11</v>
      </c>
      <c r="D15" s="537">
        <v>1</v>
      </c>
      <c r="E15" s="537">
        <v>10</v>
      </c>
      <c r="F15" s="538"/>
      <c r="G15" s="537"/>
      <c r="H15" s="536">
        <f t="shared" si="6"/>
        <v>11</v>
      </c>
      <c r="I15" s="536">
        <f t="shared" si="7"/>
        <v>11</v>
      </c>
      <c r="J15" s="537">
        <v>9</v>
      </c>
      <c r="K15" s="537"/>
      <c r="L15" s="537">
        <v>2</v>
      </c>
      <c r="M15" s="537"/>
      <c r="N15" s="539"/>
      <c r="O15" s="537"/>
      <c r="P15" s="537"/>
      <c r="Q15" s="537"/>
      <c r="R15" s="477">
        <f t="shared" si="3"/>
        <v>2</v>
      </c>
      <c r="S15" s="461">
        <f t="shared" si="1"/>
        <v>81.81818181818183</v>
      </c>
      <c r="T15" s="533">
        <f t="shared" si="4"/>
        <v>0</v>
      </c>
    </row>
    <row r="16" spans="1:20" s="534" customFormat="1" ht="23.25" customHeight="1">
      <c r="A16" s="439" t="s">
        <v>104</v>
      </c>
      <c r="B16" s="440" t="s">
        <v>543</v>
      </c>
      <c r="C16" s="536">
        <f t="shared" si="5"/>
        <v>11</v>
      </c>
      <c r="D16" s="537"/>
      <c r="E16" s="537">
        <v>11</v>
      </c>
      <c r="F16" s="538">
        <v>1</v>
      </c>
      <c r="G16" s="537"/>
      <c r="H16" s="536">
        <f t="shared" si="6"/>
        <v>10</v>
      </c>
      <c r="I16" s="536">
        <f t="shared" si="7"/>
        <v>10</v>
      </c>
      <c r="J16" s="537">
        <v>8</v>
      </c>
      <c r="K16" s="537"/>
      <c r="L16" s="537">
        <v>2</v>
      </c>
      <c r="M16" s="537"/>
      <c r="N16" s="539"/>
      <c r="O16" s="537"/>
      <c r="P16" s="537"/>
      <c r="Q16" s="537"/>
      <c r="R16" s="477">
        <f t="shared" si="3"/>
        <v>2</v>
      </c>
      <c r="S16" s="461">
        <f t="shared" si="1"/>
        <v>80</v>
      </c>
      <c r="T16" s="533">
        <f t="shared" si="4"/>
        <v>0</v>
      </c>
    </row>
    <row r="17" spans="1:20" s="534" customFormat="1" ht="23.25" customHeight="1">
      <c r="A17" s="439" t="s">
        <v>105</v>
      </c>
      <c r="B17" s="440" t="s">
        <v>438</v>
      </c>
      <c r="C17" s="536">
        <f t="shared" si="5"/>
        <v>58</v>
      </c>
      <c r="D17" s="540">
        <v>17</v>
      </c>
      <c r="E17" s="540">
        <v>41</v>
      </c>
      <c r="F17" s="538">
        <v>1</v>
      </c>
      <c r="G17" s="540"/>
      <c r="H17" s="536">
        <f t="shared" si="6"/>
        <v>57</v>
      </c>
      <c r="I17" s="536">
        <f t="shared" si="7"/>
        <v>57</v>
      </c>
      <c r="J17" s="540">
        <v>26</v>
      </c>
      <c r="K17" s="540"/>
      <c r="L17" s="540">
        <v>31</v>
      </c>
      <c r="M17" s="540"/>
      <c r="N17" s="539"/>
      <c r="O17" s="540"/>
      <c r="P17" s="540"/>
      <c r="Q17" s="540"/>
      <c r="R17" s="477">
        <f t="shared" si="3"/>
        <v>31</v>
      </c>
      <c r="S17" s="461">
        <f t="shared" si="1"/>
        <v>45.614035087719294</v>
      </c>
      <c r="T17" s="533">
        <f t="shared" si="4"/>
        <v>0</v>
      </c>
    </row>
    <row r="18" spans="1:20" s="534" customFormat="1" ht="23.25" customHeight="1">
      <c r="A18" s="439">
        <v>1.6</v>
      </c>
      <c r="B18" s="440" t="s">
        <v>439</v>
      </c>
      <c r="C18" s="536">
        <f t="shared" si="5"/>
        <v>41</v>
      </c>
      <c r="D18" s="537">
        <v>12</v>
      </c>
      <c r="E18" s="537">
        <v>29</v>
      </c>
      <c r="F18" s="538">
        <v>4</v>
      </c>
      <c r="G18" s="537"/>
      <c r="H18" s="536">
        <f t="shared" si="6"/>
        <v>37</v>
      </c>
      <c r="I18" s="536">
        <f t="shared" si="7"/>
        <v>37</v>
      </c>
      <c r="J18" s="537">
        <v>23</v>
      </c>
      <c r="K18" s="537"/>
      <c r="L18" s="537">
        <v>14</v>
      </c>
      <c r="M18" s="537"/>
      <c r="N18" s="539"/>
      <c r="O18" s="537"/>
      <c r="P18" s="537"/>
      <c r="Q18" s="537"/>
      <c r="R18" s="477">
        <f t="shared" si="3"/>
        <v>14</v>
      </c>
      <c r="S18" s="461">
        <f t="shared" si="1"/>
        <v>62.16216216216216</v>
      </c>
      <c r="T18" s="533">
        <f t="shared" si="4"/>
        <v>0</v>
      </c>
    </row>
    <row r="19" spans="1:20" s="534" customFormat="1" ht="23.25" customHeight="1">
      <c r="A19" s="439" t="s">
        <v>108</v>
      </c>
      <c r="B19" s="440" t="s">
        <v>440</v>
      </c>
      <c r="C19" s="536">
        <f t="shared" si="5"/>
        <v>29</v>
      </c>
      <c r="D19" s="537">
        <v>9</v>
      </c>
      <c r="E19" s="537">
        <v>20</v>
      </c>
      <c r="F19" s="538"/>
      <c r="G19" s="537"/>
      <c r="H19" s="536">
        <f t="shared" si="6"/>
        <v>29</v>
      </c>
      <c r="I19" s="536">
        <f t="shared" si="7"/>
        <v>27</v>
      </c>
      <c r="J19" s="537">
        <v>14</v>
      </c>
      <c r="K19" s="537"/>
      <c r="L19" s="537">
        <v>13</v>
      </c>
      <c r="M19" s="537"/>
      <c r="N19" s="539"/>
      <c r="O19" s="537"/>
      <c r="P19" s="537"/>
      <c r="Q19" s="537">
        <v>2</v>
      </c>
      <c r="R19" s="477">
        <f t="shared" si="3"/>
        <v>15</v>
      </c>
      <c r="S19" s="461">
        <f t="shared" si="1"/>
        <v>51.85185185185185</v>
      </c>
      <c r="T19" s="533">
        <f t="shared" si="4"/>
        <v>0</v>
      </c>
    </row>
    <row r="20" spans="1:20" s="534" customFormat="1" ht="23.25" customHeight="1">
      <c r="A20" s="439" t="s">
        <v>114</v>
      </c>
      <c r="B20" s="440" t="s">
        <v>441</v>
      </c>
      <c r="C20" s="536">
        <f t="shared" si="5"/>
        <v>32</v>
      </c>
      <c r="D20" s="537">
        <v>3</v>
      </c>
      <c r="E20" s="537">
        <v>29</v>
      </c>
      <c r="F20" s="538">
        <v>8</v>
      </c>
      <c r="G20" s="537"/>
      <c r="H20" s="536">
        <f t="shared" si="6"/>
        <v>24</v>
      </c>
      <c r="I20" s="536">
        <f t="shared" si="7"/>
        <v>24</v>
      </c>
      <c r="J20" s="537">
        <v>18</v>
      </c>
      <c r="K20" s="537"/>
      <c r="L20" s="537">
        <v>6</v>
      </c>
      <c r="M20" s="537"/>
      <c r="N20" s="539"/>
      <c r="O20" s="537"/>
      <c r="P20" s="537"/>
      <c r="Q20" s="537"/>
      <c r="R20" s="477">
        <f t="shared" si="3"/>
        <v>6</v>
      </c>
      <c r="S20" s="461">
        <f t="shared" si="1"/>
        <v>75</v>
      </c>
      <c r="T20" s="533">
        <f t="shared" si="4"/>
        <v>0</v>
      </c>
    </row>
    <row r="21" spans="1:20" s="534" customFormat="1" ht="23.25" customHeight="1">
      <c r="A21" s="439" t="s">
        <v>443</v>
      </c>
      <c r="B21" s="440" t="s">
        <v>444</v>
      </c>
      <c r="C21" s="536">
        <f t="shared" si="5"/>
        <v>56</v>
      </c>
      <c r="D21" s="537">
        <v>13</v>
      </c>
      <c r="E21" s="537">
        <v>43</v>
      </c>
      <c r="F21" s="538">
        <v>11</v>
      </c>
      <c r="G21" s="537"/>
      <c r="H21" s="536">
        <f t="shared" si="6"/>
        <v>45</v>
      </c>
      <c r="I21" s="536">
        <f t="shared" si="7"/>
        <v>45</v>
      </c>
      <c r="J21" s="537">
        <v>26</v>
      </c>
      <c r="K21" s="537"/>
      <c r="L21" s="537">
        <v>19</v>
      </c>
      <c r="M21" s="537">
        <v>0</v>
      </c>
      <c r="N21" s="539"/>
      <c r="O21" s="537"/>
      <c r="P21" s="537"/>
      <c r="Q21" s="537"/>
      <c r="R21" s="477">
        <f t="shared" si="3"/>
        <v>19</v>
      </c>
      <c r="S21" s="461">
        <f t="shared" si="1"/>
        <v>57.77777777777777</v>
      </c>
      <c r="T21" s="533">
        <f t="shared" si="4"/>
        <v>0</v>
      </c>
    </row>
    <row r="22" spans="1:20" s="534" customFormat="1" ht="23.25" customHeight="1">
      <c r="A22" s="439" t="s">
        <v>445</v>
      </c>
      <c r="B22" s="440" t="s">
        <v>446</v>
      </c>
      <c r="C22" s="536">
        <f t="shared" si="5"/>
        <v>35</v>
      </c>
      <c r="D22" s="537">
        <v>10</v>
      </c>
      <c r="E22" s="537">
        <v>25</v>
      </c>
      <c r="F22" s="538">
        <v>4</v>
      </c>
      <c r="G22" s="537"/>
      <c r="H22" s="536">
        <f t="shared" si="6"/>
        <v>31</v>
      </c>
      <c r="I22" s="536">
        <f t="shared" si="7"/>
        <v>31</v>
      </c>
      <c r="J22" s="537">
        <v>11</v>
      </c>
      <c r="K22" s="537">
        <v>1</v>
      </c>
      <c r="L22" s="537">
        <v>19</v>
      </c>
      <c r="M22" s="537"/>
      <c r="N22" s="539"/>
      <c r="O22" s="537"/>
      <c r="P22" s="537"/>
      <c r="Q22" s="537"/>
      <c r="R22" s="477">
        <f t="shared" si="3"/>
        <v>19</v>
      </c>
      <c r="S22" s="461">
        <f t="shared" si="1"/>
        <v>38.70967741935484</v>
      </c>
      <c r="T22" s="533">
        <f t="shared" si="4"/>
        <v>0</v>
      </c>
    </row>
    <row r="23" spans="1:20" s="534" customFormat="1" ht="23.25" customHeight="1">
      <c r="A23" s="439" t="s">
        <v>447</v>
      </c>
      <c r="B23" s="440" t="s">
        <v>598</v>
      </c>
      <c r="C23" s="536">
        <f t="shared" si="5"/>
        <v>60</v>
      </c>
      <c r="D23" s="541">
        <v>11</v>
      </c>
      <c r="E23" s="541">
        <v>49</v>
      </c>
      <c r="F23" s="538">
        <v>6</v>
      </c>
      <c r="G23" s="537"/>
      <c r="H23" s="536">
        <f t="shared" si="6"/>
        <v>54</v>
      </c>
      <c r="I23" s="536">
        <f t="shared" si="7"/>
        <v>54</v>
      </c>
      <c r="J23" s="541">
        <v>25</v>
      </c>
      <c r="K23" s="541"/>
      <c r="L23" s="542">
        <v>29</v>
      </c>
      <c r="M23" s="542"/>
      <c r="N23" s="539"/>
      <c r="O23" s="537"/>
      <c r="P23" s="537"/>
      <c r="Q23" s="537"/>
      <c r="R23" s="477">
        <f t="shared" si="3"/>
        <v>29</v>
      </c>
      <c r="S23" s="461">
        <f t="shared" si="1"/>
        <v>46.2962962962963</v>
      </c>
      <c r="T23" s="533">
        <f t="shared" si="4"/>
        <v>0</v>
      </c>
    </row>
    <row r="24" spans="1:20" s="534" customFormat="1" ht="23.25" customHeight="1">
      <c r="A24" s="439" t="s">
        <v>448</v>
      </c>
      <c r="B24" s="440" t="s">
        <v>556</v>
      </c>
      <c r="C24" s="536">
        <f t="shared" si="5"/>
        <v>32</v>
      </c>
      <c r="D24" s="541">
        <f>5+16</f>
        <v>21</v>
      </c>
      <c r="E24" s="541">
        <v>11</v>
      </c>
      <c r="F24" s="538"/>
      <c r="G24" s="537"/>
      <c r="H24" s="536">
        <f t="shared" si="6"/>
        <v>32</v>
      </c>
      <c r="I24" s="536">
        <f t="shared" si="7"/>
        <v>30</v>
      </c>
      <c r="J24" s="541">
        <v>11</v>
      </c>
      <c r="K24" s="541">
        <v>0</v>
      </c>
      <c r="L24" s="542">
        <v>19</v>
      </c>
      <c r="M24" s="542"/>
      <c r="N24" s="539"/>
      <c r="O24" s="537"/>
      <c r="P24" s="537"/>
      <c r="Q24" s="537">
        <v>2</v>
      </c>
      <c r="R24" s="477">
        <f t="shared" si="3"/>
        <v>21</v>
      </c>
      <c r="S24" s="461">
        <f t="shared" si="1"/>
        <v>36.666666666666664</v>
      </c>
      <c r="T24" s="533">
        <f t="shared" si="4"/>
        <v>0</v>
      </c>
    </row>
    <row r="25" spans="1:20" s="534" customFormat="1" ht="23.25" customHeight="1">
      <c r="A25" s="439" t="s">
        <v>450</v>
      </c>
      <c r="B25" s="440" t="s">
        <v>449</v>
      </c>
      <c r="C25" s="536">
        <f t="shared" si="5"/>
        <v>15</v>
      </c>
      <c r="D25" s="541">
        <v>0</v>
      </c>
      <c r="E25" s="541">
        <v>15</v>
      </c>
      <c r="F25" s="538">
        <v>1</v>
      </c>
      <c r="G25" s="541"/>
      <c r="H25" s="536">
        <f t="shared" si="6"/>
        <v>14</v>
      </c>
      <c r="I25" s="536">
        <f t="shared" si="7"/>
        <v>14</v>
      </c>
      <c r="J25" s="541">
        <v>13</v>
      </c>
      <c r="K25" s="541">
        <v>1</v>
      </c>
      <c r="L25" s="542">
        <v>0</v>
      </c>
      <c r="M25" s="542"/>
      <c r="N25" s="539">
        <v>0</v>
      </c>
      <c r="O25" s="537"/>
      <c r="P25" s="537"/>
      <c r="Q25" s="537"/>
      <c r="R25" s="477">
        <f t="shared" si="3"/>
        <v>0</v>
      </c>
      <c r="S25" s="461">
        <f t="shared" si="1"/>
        <v>100</v>
      </c>
      <c r="T25" s="533">
        <f t="shared" si="4"/>
        <v>0</v>
      </c>
    </row>
    <row r="26" spans="1:20" s="534" customFormat="1" ht="23.25" customHeight="1">
      <c r="A26" s="439" t="s">
        <v>452</v>
      </c>
      <c r="B26" s="440" t="s">
        <v>451</v>
      </c>
      <c r="C26" s="536">
        <f t="shared" si="5"/>
        <v>71</v>
      </c>
      <c r="D26" s="541">
        <v>13</v>
      </c>
      <c r="E26" s="541">
        <v>58</v>
      </c>
      <c r="F26" s="538">
        <v>9</v>
      </c>
      <c r="G26" s="541"/>
      <c r="H26" s="536">
        <f t="shared" si="6"/>
        <v>62</v>
      </c>
      <c r="I26" s="536">
        <f t="shared" si="7"/>
        <v>60</v>
      </c>
      <c r="J26" s="541">
        <v>36</v>
      </c>
      <c r="K26" s="541"/>
      <c r="L26" s="542">
        <v>24</v>
      </c>
      <c r="M26" s="542"/>
      <c r="N26" s="539"/>
      <c r="O26" s="537"/>
      <c r="P26" s="537"/>
      <c r="Q26" s="537">
        <v>2</v>
      </c>
      <c r="R26" s="477">
        <f t="shared" si="3"/>
        <v>26</v>
      </c>
      <c r="S26" s="461">
        <f t="shared" si="1"/>
        <v>60</v>
      </c>
      <c r="T26" s="533">
        <f t="shared" si="4"/>
        <v>0</v>
      </c>
    </row>
    <row r="27" spans="1:20" s="534" customFormat="1" ht="23.25" customHeight="1">
      <c r="A27" s="439" t="s">
        <v>454</v>
      </c>
      <c r="B27" s="440" t="s">
        <v>453</v>
      </c>
      <c r="C27" s="536">
        <f>D27+E27</f>
        <v>62</v>
      </c>
      <c r="D27" s="541">
        <v>12</v>
      </c>
      <c r="E27" s="541">
        <v>50</v>
      </c>
      <c r="F27" s="538">
        <v>10</v>
      </c>
      <c r="G27" s="541"/>
      <c r="H27" s="536">
        <f>I27+Q27</f>
        <v>52</v>
      </c>
      <c r="I27" s="536">
        <f>SUM(J27:P27)</f>
        <v>52</v>
      </c>
      <c r="J27" s="541">
        <v>31</v>
      </c>
      <c r="K27" s="541"/>
      <c r="L27" s="542">
        <v>21</v>
      </c>
      <c r="M27" s="542"/>
      <c r="N27" s="543"/>
      <c r="O27" s="537"/>
      <c r="P27" s="537"/>
      <c r="Q27" s="537"/>
      <c r="R27" s="477">
        <f t="shared" si="3"/>
        <v>21</v>
      </c>
      <c r="S27" s="461">
        <f t="shared" si="1"/>
        <v>59.61538461538461</v>
      </c>
      <c r="T27" s="533">
        <f t="shared" si="4"/>
        <v>0</v>
      </c>
    </row>
    <row r="28" spans="1:20" s="534" customFormat="1" ht="23.25" customHeight="1">
      <c r="A28" s="439" t="s">
        <v>456</v>
      </c>
      <c r="B28" s="440" t="s">
        <v>455</v>
      </c>
      <c r="C28" s="536">
        <f>D28+E28</f>
        <v>52</v>
      </c>
      <c r="D28" s="541">
        <v>6</v>
      </c>
      <c r="E28" s="541">
        <v>46</v>
      </c>
      <c r="F28" s="538">
        <v>2</v>
      </c>
      <c r="G28" s="541"/>
      <c r="H28" s="536">
        <f>I28+Q28</f>
        <v>50</v>
      </c>
      <c r="I28" s="536">
        <f>SUM(J28:P28)</f>
        <v>49</v>
      </c>
      <c r="J28" s="541">
        <v>28</v>
      </c>
      <c r="K28" s="541">
        <v>1</v>
      </c>
      <c r="L28" s="542">
        <v>20</v>
      </c>
      <c r="M28" s="542"/>
      <c r="N28" s="543"/>
      <c r="O28" s="537"/>
      <c r="P28" s="537"/>
      <c r="Q28" s="537">
        <v>1</v>
      </c>
      <c r="R28" s="477">
        <f t="shared" si="3"/>
        <v>21</v>
      </c>
      <c r="S28" s="461">
        <f t="shared" si="1"/>
        <v>59.183673469387756</v>
      </c>
      <c r="T28" s="533">
        <f t="shared" si="4"/>
        <v>0</v>
      </c>
    </row>
    <row r="29" spans="1:20" s="534" customFormat="1" ht="23.25" customHeight="1">
      <c r="A29" s="439" t="s">
        <v>557</v>
      </c>
      <c r="B29" s="440" t="s">
        <v>457</v>
      </c>
      <c r="C29" s="536">
        <f t="shared" si="5"/>
        <v>65</v>
      </c>
      <c r="D29" s="544">
        <v>3</v>
      </c>
      <c r="E29" s="541">
        <v>62</v>
      </c>
      <c r="F29" s="538">
        <v>10</v>
      </c>
      <c r="G29" s="541"/>
      <c r="H29" s="536">
        <f t="shared" si="6"/>
        <v>55</v>
      </c>
      <c r="I29" s="536">
        <f t="shared" si="7"/>
        <v>55</v>
      </c>
      <c r="J29" s="541">
        <v>38</v>
      </c>
      <c r="K29" s="541"/>
      <c r="L29" s="542">
        <v>17</v>
      </c>
      <c r="M29" s="542"/>
      <c r="N29" s="539"/>
      <c r="O29" s="537"/>
      <c r="P29" s="537"/>
      <c r="Q29" s="537"/>
      <c r="R29" s="477">
        <f t="shared" si="3"/>
        <v>17</v>
      </c>
      <c r="S29" s="461">
        <f t="shared" si="1"/>
        <v>69.0909090909091</v>
      </c>
      <c r="T29" s="533">
        <f t="shared" si="4"/>
        <v>0</v>
      </c>
    </row>
    <row r="30" spans="1:20" s="534" customFormat="1" ht="23.25" customHeight="1">
      <c r="A30" s="439" t="s">
        <v>558</v>
      </c>
      <c r="B30" s="440" t="s">
        <v>559</v>
      </c>
      <c r="C30" s="536">
        <f t="shared" si="5"/>
        <v>17</v>
      </c>
      <c r="D30" s="545"/>
      <c r="E30" s="545">
        <v>17</v>
      </c>
      <c r="F30" s="545"/>
      <c r="G30" s="545"/>
      <c r="H30" s="536">
        <f t="shared" si="6"/>
        <v>17</v>
      </c>
      <c r="I30" s="536">
        <f t="shared" si="7"/>
        <v>17</v>
      </c>
      <c r="J30" s="545">
        <v>7</v>
      </c>
      <c r="K30" s="545"/>
      <c r="L30" s="545">
        <v>10</v>
      </c>
      <c r="M30" s="546" t="s">
        <v>560</v>
      </c>
      <c r="N30" s="546"/>
      <c r="O30" s="546"/>
      <c r="P30" s="546"/>
      <c r="Q30" s="546"/>
      <c r="R30" s="477">
        <f t="shared" si="3"/>
        <v>10</v>
      </c>
      <c r="S30" s="461">
        <f t="shared" si="1"/>
        <v>41.17647058823529</v>
      </c>
      <c r="T30" s="533">
        <f t="shared" si="4"/>
        <v>0</v>
      </c>
    </row>
    <row r="31" spans="1:20" s="446" customFormat="1" ht="23.25" customHeight="1">
      <c r="A31" s="437" t="s">
        <v>1</v>
      </c>
      <c r="B31" s="438" t="s">
        <v>458</v>
      </c>
      <c r="C31" s="454">
        <f aca="true" t="shared" si="8" ref="C31:Q31">C32+C37+C42+C46+C49+C58+C71+C75+C79+C89+C92+C95+C107+C110+C63</f>
        <v>15652</v>
      </c>
      <c r="D31" s="471">
        <f t="shared" si="8"/>
        <v>8591</v>
      </c>
      <c r="E31" s="471">
        <f t="shared" si="8"/>
        <v>7061</v>
      </c>
      <c r="F31" s="471">
        <f t="shared" si="8"/>
        <v>216</v>
      </c>
      <c r="G31" s="471">
        <f t="shared" si="8"/>
        <v>10</v>
      </c>
      <c r="H31" s="454">
        <f t="shared" si="8"/>
        <v>15436</v>
      </c>
      <c r="I31" s="454">
        <f t="shared" si="8"/>
        <v>10616</v>
      </c>
      <c r="J31" s="471">
        <f t="shared" si="8"/>
        <v>6665</v>
      </c>
      <c r="K31" s="471">
        <f t="shared" si="8"/>
        <v>260</v>
      </c>
      <c r="L31" s="471">
        <f t="shared" si="8"/>
        <v>3574</v>
      </c>
      <c r="M31" s="471">
        <f t="shared" si="8"/>
        <v>72</v>
      </c>
      <c r="N31" s="471">
        <f t="shared" si="8"/>
        <v>3</v>
      </c>
      <c r="O31" s="471">
        <f t="shared" si="8"/>
        <v>0</v>
      </c>
      <c r="P31" s="471">
        <f t="shared" si="8"/>
        <v>42</v>
      </c>
      <c r="Q31" s="454">
        <f t="shared" si="8"/>
        <v>4820</v>
      </c>
      <c r="R31" s="476">
        <f t="shared" si="3"/>
        <v>8511</v>
      </c>
      <c r="S31" s="460">
        <f t="shared" si="1"/>
        <v>65.23172569706104</v>
      </c>
      <c r="T31" s="447">
        <f t="shared" si="4"/>
        <v>0</v>
      </c>
    </row>
    <row r="32" spans="1:20" s="446" customFormat="1" ht="23.25" customHeight="1">
      <c r="A32" s="441">
        <v>1</v>
      </c>
      <c r="B32" s="442" t="s">
        <v>459</v>
      </c>
      <c r="C32" s="462">
        <f>SUM(D32+E32)</f>
        <v>1338</v>
      </c>
      <c r="D32" s="472">
        <f>SUM(D33:D36)</f>
        <v>597</v>
      </c>
      <c r="E32" s="472">
        <f>SUM(E33:E36)</f>
        <v>741</v>
      </c>
      <c r="F32" s="472">
        <f>SUM(F33:F36)</f>
        <v>14</v>
      </c>
      <c r="G32" s="472">
        <f>SUM(G33:G36)</f>
        <v>0</v>
      </c>
      <c r="H32" s="462">
        <f>SUM(Q32+I32)</f>
        <v>1324</v>
      </c>
      <c r="I32" s="462">
        <f>SUM(L32+M32+N32+O32+P32+J32+K32)</f>
        <v>898</v>
      </c>
      <c r="J32" s="472">
        <f>SUM(J33:J36)</f>
        <v>557</v>
      </c>
      <c r="K32" s="472">
        <f aca="true" t="shared" si="9" ref="K32:Q32">SUM(K33:K36)</f>
        <v>47</v>
      </c>
      <c r="L32" s="472">
        <f t="shared" si="9"/>
        <v>293</v>
      </c>
      <c r="M32" s="472">
        <f t="shared" si="9"/>
        <v>1</v>
      </c>
      <c r="N32" s="472">
        <f t="shared" si="9"/>
        <v>0</v>
      </c>
      <c r="O32" s="472">
        <f t="shared" si="9"/>
        <v>0</v>
      </c>
      <c r="P32" s="472">
        <f t="shared" si="9"/>
        <v>0</v>
      </c>
      <c r="Q32" s="462">
        <f t="shared" si="9"/>
        <v>426</v>
      </c>
      <c r="R32" s="476">
        <f t="shared" si="3"/>
        <v>720</v>
      </c>
      <c r="S32" s="460">
        <f t="shared" si="1"/>
        <v>67.26057906458797</v>
      </c>
      <c r="T32" s="447">
        <f t="shared" si="4"/>
        <v>0</v>
      </c>
    </row>
    <row r="33" spans="1:20" s="534" customFormat="1" ht="23.25" customHeight="1">
      <c r="A33" s="439">
        <v>1.1</v>
      </c>
      <c r="B33" s="549" t="s">
        <v>460</v>
      </c>
      <c r="C33" s="550">
        <f>SUM(D33+E33)</f>
        <v>208</v>
      </c>
      <c r="D33" s="551">
        <v>98</v>
      </c>
      <c r="E33" s="551">
        <v>110</v>
      </c>
      <c r="F33" s="551">
        <v>4</v>
      </c>
      <c r="G33" s="551">
        <v>0</v>
      </c>
      <c r="H33" s="552">
        <f>SUM(Q33+I33)</f>
        <v>204</v>
      </c>
      <c r="I33" s="552">
        <f>SUM(L33+M33+N33+O33+P33+J33+K33)</f>
        <v>140</v>
      </c>
      <c r="J33" s="551">
        <v>81</v>
      </c>
      <c r="K33" s="551">
        <v>8</v>
      </c>
      <c r="L33" s="551">
        <v>51</v>
      </c>
      <c r="M33" s="551">
        <v>0</v>
      </c>
      <c r="N33" s="551">
        <v>0</v>
      </c>
      <c r="O33" s="551">
        <v>0</v>
      </c>
      <c r="P33" s="551">
        <v>0</v>
      </c>
      <c r="Q33" s="551">
        <v>64</v>
      </c>
      <c r="R33" s="477">
        <f t="shared" si="3"/>
        <v>115</v>
      </c>
      <c r="S33" s="461">
        <f t="shared" si="1"/>
        <v>63.57142857142857</v>
      </c>
      <c r="T33" s="533">
        <f t="shared" si="4"/>
        <v>0</v>
      </c>
    </row>
    <row r="34" spans="1:20" s="534" customFormat="1" ht="23.25" customHeight="1">
      <c r="A34" s="439">
        <v>1.2</v>
      </c>
      <c r="B34" s="549" t="s">
        <v>561</v>
      </c>
      <c r="C34" s="550">
        <f>SUM(D34+E34)</f>
        <v>242</v>
      </c>
      <c r="D34" s="551">
        <v>105</v>
      </c>
      <c r="E34" s="551">
        <v>137</v>
      </c>
      <c r="F34" s="551">
        <v>3</v>
      </c>
      <c r="G34" s="551"/>
      <c r="H34" s="552">
        <f>SUM(Q34+I34)</f>
        <v>239</v>
      </c>
      <c r="I34" s="552">
        <f>SUM(L34+M34+N34+O34+P34+J34+K34)</f>
        <v>166</v>
      </c>
      <c r="J34" s="551">
        <v>93</v>
      </c>
      <c r="K34" s="551">
        <v>17</v>
      </c>
      <c r="L34" s="551">
        <v>56</v>
      </c>
      <c r="M34" s="551">
        <v>0</v>
      </c>
      <c r="N34" s="551"/>
      <c r="O34" s="551"/>
      <c r="P34" s="551">
        <v>0</v>
      </c>
      <c r="Q34" s="551">
        <v>73</v>
      </c>
      <c r="R34" s="477">
        <f t="shared" si="3"/>
        <v>129</v>
      </c>
      <c r="S34" s="461">
        <f t="shared" si="1"/>
        <v>66.26506024096386</v>
      </c>
      <c r="T34" s="533">
        <f t="shared" si="4"/>
        <v>0</v>
      </c>
    </row>
    <row r="35" spans="1:20" s="534" customFormat="1" ht="23.25" customHeight="1">
      <c r="A35" s="439">
        <v>1.3</v>
      </c>
      <c r="B35" s="549" t="s">
        <v>461</v>
      </c>
      <c r="C35" s="550">
        <f>SUM(D35+E35)</f>
        <v>537</v>
      </c>
      <c r="D35" s="551">
        <v>243</v>
      </c>
      <c r="E35" s="551">
        <v>294</v>
      </c>
      <c r="F35" s="551">
        <v>4</v>
      </c>
      <c r="G35" s="551"/>
      <c r="H35" s="552">
        <f>SUM(Q35+I35)</f>
        <v>533</v>
      </c>
      <c r="I35" s="552">
        <f>SUM(L35+M35+N35+O35+P35+J35+K35)</f>
        <v>369</v>
      </c>
      <c r="J35" s="551">
        <v>237</v>
      </c>
      <c r="K35" s="551">
        <v>4</v>
      </c>
      <c r="L35" s="551">
        <v>127</v>
      </c>
      <c r="M35" s="551">
        <v>1</v>
      </c>
      <c r="N35" s="551"/>
      <c r="O35" s="551">
        <v>0</v>
      </c>
      <c r="P35" s="551">
        <v>0</v>
      </c>
      <c r="Q35" s="551">
        <v>164</v>
      </c>
      <c r="R35" s="477">
        <f t="shared" si="3"/>
        <v>292</v>
      </c>
      <c r="S35" s="461">
        <f t="shared" si="1"/>
        <v>65.31165311653116</v>
      </c>
      <c r="T35" s="533">
        <f t="shared" si="4"/>
        <v>0</v>
      </c>
    </row>
    <row r="36" spans="1:20" s="534" customFormat="1" ht="23.25" customHeight="1">
      <c r="A36" s="439">
        <v>1.4</v>
      </c>
      <c r="B36" s="549" t="s">
        <v>562</v>
      </c>
      <c r="C36" s="550">
        <f>SUM(D36+E36)</f>
        <v>351</v>
      </c>
      <c r="D36" s="551">
        <v>151</v>
      </c>
      <c r="E36" s="551">
        <v>200</v>
      </c>
      <c r="F36" s="551">
        <v>3</v>
      </c>
      <c r="G36" s="551"/>
      <c r="H36" s="552">
        <f>SUM(Q36+I36)</f>
        <v>348</v>
      </c>
      <c r="I36" s="552">
        <f>SUM(L36+M36+N36+O36+P36+J36+K36)</f>
        <v>223</v>
      </c>
      <c r="J36" s="551">
        <v>146</v>
      </c>
      <c r="K36" s="551">
        <v>18</v>
      </c>
      <c r="L36" s="551">
        <v>59</v>
      </c>
      <c r="M36" s="551">
        <v>0</v>
      </c>
      <c r="N36" s="551"/>
      <c r="O36" s="551"/>
      <c r="P36" s="551">
        <v>0</v>
      </c>
      <c r="Q36" s="551">
        <v>125</v>
      </c>
      <c r="R36" s="477">
        <f t="shared" si="3"/>
        <v>184</v>
      </c>
      <c r="S36" s="461">
        <f t="shared" si="1"/>
        <v>73.54260089686099</v>
      </c>
      <c r="T36" s="533">
        <f t="shared" si="4"/>
        <v>0</v>
      </c>
    </row>
    <row r="37" spans="1:20" s="446" customFormat="1" ht="23.25" customHeight="1">
      <c r="A37" s="443">
        <v>2</v>
      </c>
      <c r="B37" s="442" t="s">
        <v>462</v>
      </c>
      <c r="C37" s="463">
        <f>D37+E37</f>
        <v>528</v>
      </c>
      <c r="D37" s="464">
        <f>D41+D40+D39+D38</f>
        <v>164</v>
      </c>
      <c r="E37" s="464">
        <f>E41+E40+E39+E38</f>
        <v>364</v>
      </c>
      <c r="F37" s="464">
        <f>F41+F40+F39+F38</f>
        <v>2</v>
      </c>
      <c r="G37" s="464">
        <f>G41+G40+G39+G38</f>
        <v>0</v>
      </c>
      <c r="H37" s="463">
        <f>I37+Q37</f>
        <v>526</v>
      </c>
      <c r="I37" s="463">
        <f aca="true" t="shared" si="10" ref="I37:I45">J37+K37+L37+M37+N37+O37+P37</f>
        <v>380</v>
      </c>
      <c r="J37" s="464">
        <f>J41+J40+J39+J38</f>
        <v>320</v>
      </c>
      <c r="K37" s="464">
        <f aca="true" t="shared" si="11" ref="K37:P37">K41+K40+K39+K38</f>
        <v>14</v>
      </c>
      <c r="L37" s="464">
        <f t="shared" si="11"/>
        <v>45</v>
      </c>
      <c r="M37" s="464">
        <f t="shared" si="11"/>
        <v>0</v>
      </c>
      <c r="N37" s="464">
        <f t="shared" si="11"/>
        <v>0</v>
      </c>
      <c r="O37" s="464">
        <f t="shared" si="11"/>
        <v>0</v>
      </c>
      <c r="P37" s="464">
        <f t="shared" si="11"/>
        <v>1</v>
      </c>
      <c r="Q37" s="478">
        <f>Q38+Q39+Q40+Q41</f>
        <v>146</v>
      </c>
      <c r="R37" s="476">
        <f t="shared" si="3"/>
        <v>192</v>
      </c>
      <c r="S37" s="460">
        <f t="shared" si="1"/>
        <v>87.89473684210526</v>
      </c>
      <c r="T37" s="447">
        <f t="shared" si="4"/>
        <v>0</v>
      </c>
    </row>
    <row r="38" spans="1:20" s="534" customFormat="1" ht="23.25" customHeight="1">
      <c r="A38" s="439">
        <v>2.1</v>
      </c>
      <c r="B38" s="440" t="s">
        <v>463</v>
      </c>
      <c r="C38" s="554">
        <f>D38+E38</f>
        <v>184</v>
      </c>
      <c r="D38" s="555">
        <v>18</v>
      </c>
      <c r="E38" s="555">
        <v>166</v>
      </c>
      <c r="F38" s="555">
        <v>1</v>
      </c>
      <c r="G38" s="555"/>
      <c r="H38" s="555">
        <f>I38+Q38</f>
        <v>183</v>
      </c>
      <c r="I38" s="555">
        <f t="shared" si="10"/>
        <v>171</v>
      </c>
      <c r="J38" s="555">
        <v>166</v>
      </c>
      <c r="K38" s="555">
        <v>4</v>
      </c>
      <c r="L38" s="555">
        <v>1</v>
      </c>
      <c r="M38" s="555"/>
      <c r="N38" s="555"/>
      <c r="O38" s="555"/>
      <c r="P38" s="556"/>
      <c r="Q38" s="557">
        <v>12</v>
      </c>
      <c r="R38" s="477">
        <f t="shared" si="3"/>
        <v>13</v>
      </c>
      <c r="S38" s="461">
        <f t="shared" si="1"/>
        <v>99.41520467836257</v>
      </c>
      <c r="T38" s="533">
        <f t="shared" si="4"/>
        <v>0</v>
      </c>
    </row>
    <row r="39" spans="1:20" s="534" customFormat="1" ht="23.25" customHeight="1">
      <c r="A39" s="439">
        <v>2.2</v>
      </c>
      <c r="B39" s="440" t="s">
        <v>464</v>
      </c>
      <c r="C39" s="554">
        <f>D39+E39</f>
        <v>166</v>
      </c>
      <c r="D39" s="555">
        <v>62</v>
      </c>
      <c r="E39" s="555">
        <v>104</v>
      </c>
      <c r="F39" s="555">
        <v>1</v>
      </c>
      <c r="G39" s="555"/>
      <c r="H39" s="555">
        <f>I39+Q39</f>
        <v>165</v>
      </c>
      <c r="I39" s="555">
        <f t="shared" si="10"/>
        <v>107</v>
      </c>
      <c r="J39" s="555">
        <v>80</v>
      </c>
      <c r="K39" s="555">
        <v>7</v>
      </c>
      <c r="L39" s="555">
        <v>20</v>
      </c>
      <c r="M39" s="555"/>
      <c r="N39" s="555"/>
      <c r="O39" s="555"/>
      <c r="P39" s="556">
        <v>0</v>
      </c>
      <c r="Q39" s="557">
        <v>58</v>
      </c>
      <c r="R39" s="477">
        <f t="shared" si="3"/>
        <v>78</v>
      </c>
      <c r="S39" s="461">
        <f t="shared" si="1"/>
        <v>81.30841121495327</v>
      </c>
      <c r="T39" s="533">
        <f t="shared" si="4"/>
        <v>0</v>
      </c>
    </row>
    <row r="40" spans="1:20" s="534" customFormat="1" ht="23.25" customHeight="1">
      <c r="A40" s="439">
        <v>2.3</v>
      </c>
      <c r="B40" s="440" t="s">
        <v>465</v>
      </c>
      <c r="C40" s="554">
        <f>D40+E40</f>
        <v>178</v>
      </c>
      <c r="D40" s="555">
        <v>84</v>
      </c>
      <c r="E40" s="555">
        <v>94</v>
      </c>
      <c r="F40" s="555"/>
      <c r="G40" s="555"/>
      <c r="H40" s="555">
        <f>I40+Q40</f>
        <v>178</v>
      </c>
      <c r="I40" s="555">
        <f t="shared" si="10"/>
        <v>102</v>
      </c>
      <c r="J40" s="555">
        <v>74</v>
      </c>
      <c r="K40" s="555">
        <v>3</v>
      </c>
      <c r="L40" s="555">
        <v>24</v>
      </c>
      <c r="M40" s="555"/>
      <c r="N40" s="555"/>
      <c r="O40" s="555"/>
      <c r="P40" s="556">
        <v>1</v>
      </c>
      <c r="Q40" s="557">
        <v>76</v>
      </c>
      <c r="R40" s="477">
        <f t="shared" si="3"/>
        <v>101</v>
      </c>
      <c r="S40" s="461">
        <f t="shared" si="1"/>
        <v>75.49019607843137</v>
      </c>
      <c r="T40" s="533">
        <f t="shared" si="4"/>
        <v>0</v>
      </c>
    </row>
    <row r="41" spans="1:20" s="534" customFormat="1" ht="23.25" customHeight="1">
      <c r="A41" s="439">
        <v>2.4</v>
      </c>
      <c r="B41" s="440" t="s">
        <v>466</v>
      </c>
      <c r="C41" s="554">
        <v>0</v>
      </c>
      <c r="D41" s="555">
        <v>0</v>
      </c>
      <c r="E41" s="555">
        <v>0</v>
      </c>
      <c r="F41" s="555">
        <v>0</v>
      </c>
      <c r="G41" s="555">
        <v>0</v>
      </c>
      <c r="H41" s="555">
        <f>I41+Q41</f>
        <v>0</v>
      </c>
      <c r="I41" s="555">
        <f t="shared" si="10"/>
        <v>0</v>
      </c>
      <c r="J41" s="555">
        <v>0</v>
      </c>
      <c r="K41" s="555">
        <v>0</v>
      </c>
      <c r="L41" s="555">
        <v>0</v>
      </c>
      <c r="M41" s="555">
        <v>0</v>
      </c>
      <c r="N41" s="555"/>
      <c r="O41" s="555"/>
      <c r="P41" s="556"/>
      <c r="Q41" s="557">
        <v>0</v>
      </c>
      <c r="R41" s="477">
        <f t="shared" si="3"/>
        <v>0</v>
      </c>
      <c r="S41" s="461" t="e">
        <f t="shared" si="1"/>
        <v>#DIV/0!</v>
      </c>
      <c r="T41" s="533">
        <f t="shared" si="4"/>
        <v>0</v>
      </c>
    </row>
    <row r="42" spans="1:20" s="446" customFormat="1" ht="23.25" customHeight="1">
      <c r="A42" s="443">
        <v>3</v>
      </c>
      <c r="B42" s="442" t="s">
        <v>467</v>
      </c>
      <c r="C42" s="463">
        <f>C43+C44+C45</f>
        <v>348</v>
      </c>
      <c r="D42" s="464">
        <f aca="true" t="shared" si="12" ref="D42:Q42">D43+D44+D45</f>
        <v>138</v>
      </c>
      <c r="E42" s="464">
        <f t="shared" si="12"/>
        <v>210</v>
      </c>
      <c r="F42" s="464">
        <f t="shared" si="12"/>
        <v>10</v>
      </c>
      <c r="G42" s="464">
        <f t="shared" si="12"/>
        <v>0</v>
      </c>
      <c r="H42" s="463">
        <f aca="true" t="shared" si="13" ref="H42:H48">I42+Q42</f>
        <v>338</v>
      </c>
      <c r="I42" s="463">
        <f t="shared" si="10"/>
        <v>270</v>
      </c>
      <c r="J42" s="464">
        <f t="shared" si="12"/>
        <v>156</v>
      </c>
      <c r="K42" s="464">
        <f t="shared" si="12"/>
        <v>26</v>
      </c>
      <c r="L42" s="464">
        <f t="shared" si="12"/>
        <v>86</v>
      </c>
      <c r="M42" s="464">
        <f t="shared" si="12"/>
        <v>0</v>
      </c>
      <c r="N42" s="464">
        <f t="shared" si="12"/>
        <v>1</v>
      </c>
      <c r="O42" s="464">
        <f t="shared" si="12"/>
        <v>0</v>
      </c>
      <c r="P42" s="464">
        <f t="shared" si="12"/>
        <v>1</v>
      </c>
      <c r="Q42" s="463">
        <f t="shared" si="12"/>
        <v>68</v>
      </c>
      <c r="R42" s="476">
        <f t="shared" si="3"/>
        <v>156</v>
      </c>
      <c r="S42" s="460">
        <f t="shared" si="1"/>
        <v>67.4074074074074</v>
      </c>
      <c r="T42" s="447">
        <f t="shared" si="4"/>
        <v>0</v>
      </c>
    </row>
    <row r="43" spans="1:20" s="534" customFormat="1" ht="23.25" customHeight="1">
      <c r="A43" s="439">
        <v>3.1</v>
      </c>
      <c r="B43" s="440" t="s">
        <v>468</v>
      </c>
      <c r="C43" s="553">
        <f aca="true" t="shared" si="14" ref="C43:C48">D43+E43</f>
        <v>84</v>
      </c>
      <c r="D43" s="558">
        <v>13</v>
      </c>
      <c r="E43" s="558">
        <v>71</v>
      </c>
      <c r="F43" s="558">
        <v>4</v>
      </c>
      <c r="G43" s="558">
        <v>0</v>
      </c>
      <c r="H43" s="558">
        <f>I43+Q43</f>
        <v>80</v>
      </c>
      <c r="I43" s="558">
        <f t="shared" si="10"/>
        <v>74</v>
      </c>
      <c r="J43" s="558">
        <v>61</v>
      </c>
      <c r="K43" s="558">
        <v>1</v>
      </c>
      <c r="L43" s="558">
        <v>11</v>
      </c>
      <c r="M43" s="558">
        <v>0</v>
      </c>
      <c r="N43" s="558">
        <v>0</v>
      </c>
      <c r="O43" s="558">
        <v>0</v>
      </c>
      <c r="P43" s="559">
        <v>1</v>
      </c>
      <c r="Q43" s="560">
        <v>6</v>
      </c>
      <c r="R43" s="477">
        <f t="shared" si="3"/>
        <v>18</v>
      </c>
      <c r="S43" s="461">
        <f t="shared" si="1"/>
        <v>83.78378378378379</v>
      </c>
      <c r="T43" s="533">
        <f t="shared" si="4"/>
        <v>0</v>
      </c>
    </row>
    <row r="44" spans="1:20" s="534" customFormat="1" ht="23.25" customHeight="1">
      <c r="A44" s="439">
        <v>3.2</v>
      </c>
      <c r="B44" s="440" t="s">
        <v>469</v>
      </c>
      <c r="C44" s="553">
        <f t="shared" si="14"/>
        <v>138</v>
      </c>
      <c r="D44" s="558">
        <v>78</v>
      </c>
      <c r="E44" s="558">
        <v>60</v>
      </c>
      <c r="F44" s="558">
        <v>6</v>
      </c>
      <c r="G44" s="558">
        <v>0</v>
      </c>
      <c r="H44" s="558">
        <f>I44+Q44</f>
        <v>132</v>
      </c>
      <c r="I44" s="558">
        <f t="shared" si="10"/>
        <v>90</v>
      </c>
      <c r="J44" s="558">
        <v>51</v>
      </c>
      <c r="K44" s="558">
        <v>8</v>
      </c>
      <c r="L44" s="558">
        <v>31</v>
      </c>
      <c r="M44" s="558">
        <v>0</v>
      </c>
      <c r="N44" s="558">
        <v>0</v>
      </c>
      <c r="O44" s="558"/>
      <c r="P44" s="559">
        <v>0</v>
      </c>
      <c r="Q44" s="560">
        <v>42</v>
      </c>
      <c r="R44" s="477">
        <f t="shared" si="3"/>
        <v>73</v>
      </c>
      <c r="S44" s="461">
        <f t="shared" si="1"/>
        <v>65.55555555555556</v>
      </c>
      <c r="T44" s="533">
        <f t="shared" si="4"/>
        <v>0</v>
      </c>
    </row>
    <row r="45" spans="1:20" s="534" customFormat="1" ht="23.25" customHeight="1">
      <c r="A45" s="439">
        <v>3.3</v>
      </c>
      <c r="B45" s="440" t="s">
        <v>470</v>
      </c>
      <c r="C45" s="553">
        <f t="shared" si="14"/>
        <v>126</v>
      </c>
      <c r="D45" s="558">
        <v>47</v>
      </c>
      <c r="E45" s="558">
        <v>79</v>
      </c>
      <c r="F45" s="558">
        <v>0</v>
      </c>
      <c r="G45" s="558">
        <v>0</v>
      </c>
      <c r="H45" s="558">
        <f>I45+Q45</f>
        <v>126</v>
      </c>
      <c r="I45" s="558">
        <f t="shared" si="10"/>
        <v>106</v>
      </c>
      <c r="J45" s="558">
        <v>44</v>
      </c>
      <c r="K45" s="558">
        <v>17</v>
      </c>
      <c r="L45" s="558">
        <v>44</v>
      </c>
      <c r="M45" s="558">
        <v>0</v>
      </c>
      <c r="N45" s="558">
        <v>1</v>
      </c>
      <c r="O45" s="558">
        <v>0</v>
      </c>
      <c r="P45" s="561">
        <v>0</v>
      </c>
      <c r="Q45" s="560">
        <v>20</v>
      </c>
      <c r="R45" s="477">
        <f t="shared" si="3"/>
        <v>65</v>
      </c>
      <c r="S45" s="461">
        <f t="shared" si="1"/>
        <v>57.54716981132076</v>
      </c>
      <c r="T45" s="533">
        <f t="shared" si="4"/>
        <v>0</v>
      </c>
    </row>
    <row r="46" spans="1:20" s="446" customFormat="1" ht="23.25" customHeight="1">
      <c r="A46" s="443">
        <v>4</v>
      </c>
      <c r="B46" s="442" t="s">
        <v>471</v>
      </c>
      <c r="C46" s="454">
        <f t="shared" si="14"/>
        <v>3</v>
      </c>
      <c r="D46" s="471">
        <f aca="true" t="shared" si="15" ref="D46:Q46">D47+D48</f>
        <v>0</v>
      </c>
      <c r="E46" s="471">
        <f t="shared" si="15"/>
        <v>3</v>
      </c>
      <c r="F46" s="471">
        <f t="shared" si="15"/>
        <v>0</v>
      </c>
      <c r="G46" s="471">
        <f t="shared" si="15"/>
        <v>0</v>
      </c>
      <c r="H46" s="454">
        <f t="shared" si="13"/>
        <v>3</v>
      </c>
      <c r="I46" s="454">
        <f>SUM(J46:P46)</f>
        <v>3</v>
      </c>
      <c r="J46" s="471">
        <f t="shared" si="15"/>
        <v>3</v>
      </c>
      <c r="K46" s="471">
        <f t="shared" si="15"/>
        <v>0</v>
      </c>
      <c r="L46" s="471">
        <f t="shared" si="15"/>
        <v>0</v>
      </c>
      <c r="M46" s="471">
        <f t="shared" si="15"/>
        <v>0</v>
      </c>
      <c r="N46" s="471">
        <f t="shared" si="15"/>
        <v>0</v>
      </c>
      <c r="O46" s="471">
        <f t="shared" si="15"/>
        <v>0</v>
      </c>
      <c r="P46" s="471">
        <f t="shared" si="15"/>
        <v>0</v>
      </c>
      <c r="Q46" s="454">
        <f t="shared" si="15"/>
        <v>0</v>
      </c>
      <c r="R46" s="476">
        <f t="shared" si="3"/>
        <v>0</v>
      </c>
      <c r="S46" s="460">
        <f t="shared" si="1"/>
        <v>100</v>
      </c>
      <c r="T46" s="447">
        <f t="shared" si="4"/>
        <v>0</v>
      </c>
    </row>
    <row r="47" spans="1:20" s="534" customFormat="1" ht="23.25" customHeight="1">
      <c r="A47" s="439">
        <v>1</v>
      </c>
      <c r="B47" s="547" t="s">
        <v>472</v>
      </c>
      <c r="C47" s="455">
        <f t="shared" si="14"/>
        <v>0</v>
      </c>
      <c r="D47" s="535"/>
      <c r="E47" s="535"/>
      <c r="F47" s="535"/>
      <c r="G47" s="535"/>
      <c r="H47" s="455">
        <f t="shared" si="13"/>
        <v>0</v>
      </c>
      <c r="I47" s="455">
        <f>SUM(J47:P47)</f>
        <v>0</v>
      </c>
      <c r="J47" s="535"/>
      <c r="K47" s="535"/>
      <c r="L47" s="562"/>
      <c r="M47" s="562"/>
      <c r="N47" s="562"/>
      <c r="O47" s="563"/>
      <c r="P47" s="563"/>
      <c r="Q47" s="477"/>
      <c r="R47" s="477">
        <f t="shared" si="3"/>
        <v>0</v>
      </c>
      <c r="S47" s="461" t="e">
        <f t="shared" si="1"/>
        <v>#DIV/0!</v>
      </c>
      <c r="T47" s="533">
        <f t="shared" si="4"/>
        <v>0</v>
      </c>
    </row>
    <row r="48" spans="1:20" s="534" customFormat="1" ht="23.25" customHeight="1">
      <c r="A48" s="439">
        <v>2</v>
      </c>
      <c r="B48" s="547" t="s">
        <v>473</v>
      </c>
      <c r="C48" s="455">
        <f t="shared" si="14"/>
        <v>3</v>
      </c>
      <c r="D48" s="535">
        <v>0</v>
      </c>
      <c r="E48" s="535">
        <v>3</v>
      </c>
      <c r="F48" s="535"/>
      <c r="G48" s="535"/>
      <c r="H48" s="455">
        <f t="shared" si="13"/>
        <v>3</v>
      </c>
      <c r="I48" s="455">
        <f>SUM(J48:P48)</f>
        <v>3</v>
      </c>
      <c r="J48" s="535">
        <v>3</v>
      </c>
      <c r="K48" s="535"/>
      <c r="L48" s="562"/>
      <c r="M48" s="562"/>
      <c r="N48" s="562"/>
      <c r="O48" s="563"/>
      <c r="P48" s="563"/>
      <c r="Q48" s="477"/>
      <c r="R48" s="477">
        <f t="shared" si="3"/>
        <v>0</v>
      </c>
      <c r="S48" s="461">
        <f t="shared" si="1"/>
        <v>100</v>
      </c>
      <c r="T48" s="533">
        <f t="shared" si="4"/>
        <v>0</v>
      </c>
    </row>
    <row r="49" spans="1:20" s="446" customFormat="1" ht="23.25" customHeight="1">
      <c r="A49" s="443">
        <v>5</v>
      </c>
      <c r="B49" s="442" t="s">
        <v>474</v>
      </c>
      <c r="C49" s="468">
        <f>C50+C51+C52+C53+C54+C55+C56+C57</f>
        <v>2998</v>
      </c>
      <c r="D49" s="469">
        <f aca="true" t="shared" si="16" ref="D49:Q49">D50+D51+D52+D53+D54+D55+D56+D57</f>
        <v>2021</v>
      </c>
      <c r="E49" s="469">
        <f t="shared" si="16"/>
        <v>977</v>
      </c>
      <c r="F49" s="469">
        <f t="shared" si="16"/>
        <v>70</v>
      </c>
      <c r="G49" s="469">
        <f t="shared" si="16"/>
        <v>2</v>
      </c>
      <c r="H49" s="468">
        <f t="shared" si="16"/>
        <v>2928</v>
      </c>
      <c r="I49" s="468">
        <f>I50+I51+I52+I53+I54+I55+I56+I57</f>
        <v>1713</v>
      </c>
      <c r="J49" s="469">
        <f t="shared" si="16"/>
        <v>1139</v>
      </c>
      <c r="K49" s="469">
        <f t="shared" si="16"/>
        <v>6</v>
      </c>
      <c r="L49" s="469">
        <f t="shared" si="16"/>
        <v>568</v>
      </c>
      <c r="M49" s="469">
        <f t="shared" si="16"/>
        <v>0</v>
      </c>
      <c r="N49" s="469">
        <f t="shared" si="16"/>
        <v>0</v>
      </c>
      <c r="O49" s="469">
        <f t="shared" si="16"/>
        <v>0</v>
      </c>
      <c r="P49" s="469">
        <f t="shared" si="16"/>
        <v>0</v>
      </c>
      <c r="Q49" s="468">
        <f t="shared" si="16"/>
        <v>1215</v>
      </c>
      <c r="R49" s="476">
        <f t="shared" si="3"/>
        <v>1783</v>
      </c>
      <c r="S49" s="460">
        <f t="shared" si="1"/>
        <v>66.84179801517806</v>
      </c>
      <c r="T49" s="447">
        <f t="shared" si="4"/>
        <v>0</v>
      </c>
    </row>
    <row r="50" spans="1:20" s="534" customFormat="1" ht="23.25" customHeight="1">
      <c r="A50" s="439" t="s">
        <v>111</v>
      </c>
      <c r="B50" s="564" t="s">
        <v>475</v>
      </c>
      <c r="C50" s="565">
        <f>D50+E50</f>
        <v>112</v>
      </c>
      <c r="D50" s="566">
        <v>38</v>
      </c>
      <c r="E50" s="567">
        <f>4+50+10+10</f>
        <v>74</v>
      </c>
      <c r="F50" s="567">
        <v>0</v>
      </c>
      <c r="G50" s="567">
        <v>0</v>
      </c>
      <c r="H50" s="565">
        <f>I50+Q50</f>
        <v>112</v>
      </c>
      <c r="I50" s="565">
        <f aca="true" t="shared" si="17" ref="I50:I57">J50+K50+L50+M50+N50+O50+P50</f>
        <v>112</v>
      </c>
      <c r="J50" s="567">
        <v>110</v>
      </c>
      <c r="K50" s="567">
        <v>0</v>
      </c>
      <c r="L50" s="568">
        <v>2</v>
      </c>
      <c r="M50" s="567">
        <v>0</v>
      </c>
      <c r="N50" s="567">
        <v>0</v>
      </c>
      <c r="O50" s="567">
        <v>0</v>
      </c>
      <c r="P50" s="567">
        <v>0</v>
      </c>
      <c r="Q50" s="569">
        <f aca="true" t="shared" si="18" ref="Q50:Q57">C50-F50-I50</f>
        <v>0</v>
      </c>
      <c r="R50" s="477">
        <f t="shared" si="3"/>
        <v>2</v>
      </c>
      <c r="S50" s="461">
        <f t="shared" si="1"/>
        <v>98.21428571428571</v>
      </c>
      <c r="T50" s="533">
        <f t="shared" si="4"/>
        <v>0</v>
      </c>
    </row>
    <row r="51" spans="1:20" s="534" customFormat="1" ht="23.25" customHeight="1">
      <c r="A51" s="439" t="s">
        <v>112</v>
      </c>
      <c r="B51" s="564" t="s">
        <v>476</v>
      </c>
      <c r="C51" s="565">
        <f>D51+E51</f>
        <v>346</v>
      </c>
      <c r="D51" s="566">
        <v>140</v>
      </c>
      <c r="E51" s="567">
        <v>206</v>
      </c>
      <c r="F51" s="567">
        <v>41</v>
      </c>
      <c r="G51" s="567">
        <v>2</v>
      </c>
      <c r="H51" s="565">
        <f>I51+Q51</f>
        <v>305</v>
      </c>
      <c r="I51" s="565">
        <f t="shared" si="17"/>
        <v>273</v>
      </c>
      <c r="J51" s="567">
        <v>160</v>
      </c>
      <c r="K51" s="567">
        <v>1</v>
      </c>
      <c r="L51" s="568">
        <v>112</v>
      </c>
      <c r="M51" s="567">
        <v>0</v>
      </c>
      <c r="N51" s="567">
        <v>0</v>
      </c>
      <c r="O51" s="567">
        <v>0</v>
      </c>
      <c r="P51" s="567">
        <v>0</v>
      </c>
      <c r="Q51" s="569">
        <f t="shared" si="18"/>
        <v>32</v>
      </c>
      <c r="R51" s="477">
        <f t="shared" si="3"/>
        <v>144</v>
      </c>
      <c r="S51" s="461">
        <f t="shared" si="1"/>
        <v>58.97435897435898</v>
      </c>
      <c r="T51" s="533">
        <f t="shared" si="4"/>
        <v>0</v>
      </c>
    </row>
    <row r="52" spans="1:20" s="534" customFormat="1" ht="23.25" customHeight="1">
      <c r="A52" s="439" t="s">
        <v>113</v>
      </c>
      <c r="B52" s="564" t="s">
        <v>477</v>
      </c>
      <c r="C52" s="565">
        <f aca="true" t="shared" si="19" ref="C52:C57">D52+E52</f>
        <v>532</v>
      </c>
      <c r="D52" s="566">
        <v>356</v>
      </c>
      <c r="E52" s="567">
        <v>176</v>
      </c>
      <c r="F52" s="567">
        <v>9</v>
      </c>
      <c r="G52" s="567">
        <v>0</v>
      </c>
      <c r="H52" s="565">
        <f aca="true" t="shared" si="20" ref="H52:H57">I52+Q52</f>
        <v>523</v>
      </c>
      <c r="I52" s="565">
        <f t="shared" si="17"/>
        <v>365</v>
      </c>
      <c r="J52" s="567">
        <v>225</v>
      </c>
      <c r="K52" s="567">
        <v>1</v>
      </c>
      <c r="L52" s="568">
        <v>139</v>
      </c>
      <c r="M52" s="567">
        <v>0</v>
      </c>
      <c r="N52" s="567">
        <v>0</v>
      </c>
      <c r="O52" s="567">
        <v>0</v>
      </c>
      <c r="P52" s="567">
        <v>0</v>
      </c>
      <c r="Q52" s="569">
        <f t="shared" si="18"/>
        <v>158</v>
      </c>
      <c r="R52" s="477">
        <f t="shared" si="3"/>
        <v>297</v>
      </c>
      <c r="S52" s="461">
        <f t="shared" si="1"/>
        <v>61.917808219178085</v>
      </c>
      <c r="T52" s="533">
        <f t="shared" si="4"/>
        <v>0</v>
      </c>
    </row>
    <row r="53" spans="1:20" s="534" customFormat="1" ht="23.25" customHeight="1">
      <c r="A53" s="439" t="s">
        <v>478</v>
      </c>
      <c r="B53" s="564" t="s">
        <v>479</v>
      </c>
      <c r="C53" s="565">
        <f t="shared" si="19"/>
        <v>291</v>
      </c>
      <c r="D53" s="566">
        <v>189</v>
      </c>
      <c r="E53" s="567">
        <v>102</v>
      </c>
      <c r="F53" s="567">
        <v>8</v>
      </c>
      <c r="G53" s="567">
        <v>0</v>
      </c>
      <c r="H53" s="565">
        <f>I53+Q53</f>
        <v>283</v>
      </c>
      <c r="I53" s="565">
        <f t="shared" si="17"/>
        <v>153</v>
      </c>
      <c r="J53" s="567">
        <v>115</v>
      </c>
      <c r="K53" s="567">
        <v>1</v>
      </c>
      <c r="L53" s="568">
        <v>37</v>
      </c>
      <c r="M53" s="567">
        <v>0</v>
      </c>
      <c r="N53" s="567">
        <v>0</v>
      </c>
      <c r="O53" s="567">
        <v>0</v>
      </c>
      <c r="P53" s="567">
        <v>0</v>
      </c>
      <c r="Q53" s="569">
        <f t="shared" si="18"/>
        <v>130</v>
      </c>
      <c r="R53" s="477">
        <f t="shared" si="3"/>
        <v>167</v>
      </c>
      <c r="S53" s="461">
        <f t="shared" si="1"/>
        <v>75.81699346405229</v>
      </c>
      <c r="T53" s="533">
        <f t="shared" si="4"/>
        <v>0</v>
      </c>
    </row>
    <row r="54" spans="1:20" s="534" customFormat="1" ht="23.25" customHeight="1">
      <c r="A54" s="439" t="s">
        <v>480</v>
      </c>
      <c r="B54" s="564" t="s">
        <v>481</v>
      </c>
      <c r="C54" s="565">
        <f>D54+E54</f>
        <v>542</v>
      </c>
      <c r="D54" s="566">
        <v>413</v>
      </c>
      <c r="E54" s="567">
        <v>129</v>
      </c>
      <c r="F54" s="567">
        <v>1</v>
      </c>
      <c r="G54" s="567">
        <v>0</v>
      </c>
      <c r="H54" s="565">
        <f t="shared" si="20"/>
        <v>541</v>
      </c>
      <c r="I54" s="565">
        <f t="shared" si="17"/>
        <v>276</v>
      </c>
      <c r="J54" s="567">
        <v>183</v>
      </c>
      <c r="K54" s="567">
        <v>0</v>
      </c>
      <c r="L54" s="568">
        <v>93</v>
      </c>
      <c r="M54" s="567">
        <v>0</v>
      </c>
      <c r="N54" s="567">
        <v>0</v>
      </c>
      <c r="O54" s="567">
        <v>0</v>
      </c>
      <c r="P54" s="567">
        <v>0</v>
      </c>
      <c r="Q54" s="569">
        <f t="shared" si="18"/>
        <v>265</v>
      </c>
      <c r="R54" s="477">
        <f t="shared" si="3"/>
        <v>358</v>
      </c>
      <c r="S54" s="461">
        <f t="shared" si="1"/>
        <v>66.30434782608695</v>
      </c>
      <c r="T54" s="533">
        <f t="shared" si="4"/>
        <v>0</v>
      </c>
    </row>
    <row r="55" spans="1:20" s="534" customFormat="1" ht="23.25" customHeight="1">
      <c r="A55" s="439" t="s">
        <v>482</v>
      </c>
      <c r="B55" s="564" t="s">
        <v>483</v>
      </c>
      <c r="C55" s="565">
        <f t="shared" si="19"/>
        <v>528</v>
      </c>
      <c r="D55" s="566">
        <v>403</v>
      </c>
      <c r="E55" s="567">
        <v>125</v>
      </c>
      <c r="F55" s="567">
        <v>0</v>
      </c>
      <c r="G55" s="567">
        <v>0</v>
      </c>
      <c r="H55" s="565">
        <f t="shared" si="20"/>
        <v>528</v>
      </c>
      <c r="I55" s="565">
        <f t="shared" si="17"/>
        <v>256</v>
      </c>
      <c r="J55" s="567">
        <v>155</v>
      </c>
      <c r="K55" s="567">
        <v>0</v>
      </c>
      <c r="L55" s="568">
        <v>101</v>
      </c>
      <c r="M55" s="567">
        <v>0</v>
      </c>
      <c r="N55" s="567">
        <v>0</v>
      </c>
      <c r="O55" s="567">
        <v>0</v>
      </c>
      <c r="P55" s="567">
        <v>0</v>
      </c>
      <c r="Q55" s="569">
        <f t="shared" si="18"/>
        <v>272</v>
      </c>
      <c r="R55" s="477">
        <f t="shared" si="3"/>
        <v>373</v>
      </c>
      <c r="S55" s="461">
        <f t="shared" si="1"/>
        <v>60.546875</v>
      </c>
      <c r="T55" s="533">
        <f t="shared" si="4"/>
        <v>0</v>
      </c>
    </row>
    <row r="56" spans="1:20" s="534" customFormat="1" ht="23.25" customHeight="1">
      <c r="A56" s="439" t="s">
        <v>484</v>
      </c>
      <c r="B56" s="564" t="s">
        <v>485</v>
      </c>
      <c r="C56" s="565">
        <f t="shared" si="19"/>
        <v>545</v>
      </c>
      <c r="D56" s="566">
        <v>401</v>
      </c>
      <c r="E56" s="567">
        <v>144</v>
      </c>
      <c r="F56" s="567">
        <v>11</v>
      </c>
      <c r="G56" s="567">
        <v>0</v>
      </c>
      <c r="H56" s="565">
        <f t="shared" si="20"/>
        <v>534</v>
      </c>
      <c r="I56" s="565">
        <f t="shared" si="17"/>
        <v>253</v>
      </c>
      <c r="J56" s="567">
        <v>181</v>
      </c>
      <c r="K56" s="567">
        <v>3</v>
      </c>
      <c r="L56" s="568">
        <v>69</v>
      </c>
      <c r="M56" s="567">
        <v>0</v>
      </c>
      <c r="N56" s="567">
        <v>0</v>
      </c>
      <c r="O56" s="567">
        <v>0</v>
      </c>
      <c r="P56" s="567">
        <v>0</v>
      </c>
      <c r="Q56" s="569">
        <f t="shared" si="18"/>
        <v>281</v>
      </c>
      <c r="R56" s="477">
        <f t="shared" si="3"/>
        <v>350</v>
      </c>
      <c r="S56" s="461">
        <f t="shared" si="1"/>
        <v>72.72727272727273</v>
      </c>
      <c r="T56" s="533">
        <f t="shared" si="4"/>
        <v>0</v>
      </c>
    </row>
    <row r="57" spans="1:20" s="534" customFormat="1" ht="23.25" customHeight="1">
      <c r="A57" s="439" t="s">
        <v>486</v>
      </c>
      <c r="B57" s="564" t="s">
        <v>487</v>
      </c>
      <c r="C57" s="565">
        <f t="shared" si="19"/>
        <v>102</v>
      </c>
      <c r="D57" s="566">
        <v>81</v>
      </c>
      <c r="E57" s="570">
        <v>21</v>
      </c>
      <c r="F57" s="567">
        <v>0</v>
      </c>
      <c r="G57" s="567">
        <v>0</v>
      </c>
      <c r="H57" s="565">
        <f t="shared" si="20"/>
        <v>102</v>
      </c>
      <c r="I57" s="565">
        <f t="shared" si="17"/>
        <v>25</v>
      </c>
      <c r="J57" s="567">
        <v>10</v>
      </c>
      <c r="K57" s="567">
        <v>0</v>
      </c>
      <c r="L57" s="568">
        <v>15</v>
      </c>
      <c r="M57" s="567">
        <v>0</v>
      </c>
      <c r="N57" s="567">
        <v>0</v>
      </c>
      <c r="O57" s="567">
        <v>0</v>
      </c>
      <c r="P57" s="567">
        <v>0</v>
      </c>
      <c r="Q57" s="569">
        <f t="shared" si="18"/>
        <v>77</v>
      </c>
      <c r="R57" s="477">
        <f t="shared" si="3"/>
        <v>92</v>
      </c>
      <c r="S57" s="461">
        <f t="shared" si="1"/>
        <v>40</v>
      </c>
      <c r="T57" s="533">
        <f t="shared" si="4"/>
        <v>0</v>
      </c>
    </row>
    <row r="58" spans="1:20" s="446" customFormat="1" ht="23.25" customHeight="1">
      <c r="A58" s="443">
        <v>6</v>
      </c>
      <c r="B58" s="442" t="s">
        <v>488</v>
      </c>
      <c r="C58" s="463">
        <f aca="true" t="shared" si="21" ref="C58:C63">D58+E58</f>
        <v>724</v>
      </c>
      <c r="D58" s="464">
        <f>D59+D60+D61+D62</f>
        <v>305</v>
      </c>
      <c r="E58" s="464">
        <f aca="true" t="shared" si="22" ref="E58:Q58">E59+E60+E61+E62</f>
        <v>419</v>
      </c>
      <c r="F58" s="464">
        <f t="shared" si="22"/>
        <v>25</v>
      </c>
      <c r="G58" s="464">
        <f t="shared" si="22"/>
        <v>0</v>
      </c>
      <c r="H58" s="464">
        <f t="shared" si="22"/>
        <v>699</v>
      </c>
      <c r="I58" s="464">
        <f t="shared" si="22"/>
        <v>437</v>
      </c>
      <c r="J58" s="464">
        <f t="shared" si="22"/>
        <v>330</v>
      </c>
      <c r="K58" s="464">
        <f t="shared" si="22"/>
        <v>8</v>
      </c>
      <c r="L58" s="464">
        <f t="shared" si="22"/>
        <v>95</v>
      </c>
      <c r="M58" s="464">
        <f t="shared" si="22"/>
        <v>3</v>
      </c>
      <c r="N58" s="464">
        <f t="shared" si="22"/>
        <v>0</v>
      </c>
      <c r="O58" s="464">
        <f t="shared" si="22"/>
        <v>0</v>
      </c>
      <c r="P58" s="464">
        <f t="shared" si="22"/>
        <v>1</v>
      </c>
      <c r="Q58" s="464">
        <f t="shared" si="22"/>
        <v>262</v>
      </c>
      <c r="R58" s="476">
        <f t="shared" si="3"/>
        <v>361</v>
      </c>
      <c r="S58" s="460">
        <f t="shared" si="1"/>
        <v>77.34553775743707</v>
      </c>
      <c r="T58" s="447">
        <f t="shared" si="4"/>
        <v>0</v>
      </c>
    </row>
    <row r="59" spans="1:20" s="534" customFormat="1" ht="23.25" customHeight="1">
      <c r="A59" s="439">
        <v>1</v>
      </c>
      <c r="B59" s="440" t="s">
        <v>489</v>
      </c>
      <c r="C59" s="553">
        <f t="shared" si="21"/>
        <v>129</v>
      </c>
      <c r="D59" s="571">
        <v>23</v>
      </c>
      <c r="E59" s="571">
        <v>106</v>
      </c>
      <c r="F59" s="571">
        <v>7</v>
      </c>
      <c r="G59" s="571"/>
      <c r="H59" s="572">
        <f aca="true" t="shared" si="23" ref="H59:H64">I59+Q59</f>
        <v>122</v>
      </c>
      <c r="I59" s="572">
        <f>J59+K59+L59+M59+N59+O59+P59</f>
        <v>106</v>
      </c>
      <c r="J59" s="571">
        <v>86</v>
      </c>
      <c r="K59" s="571">
        <v>2</v>
      </c>
      <c r="L59" s="573">
        <v>18</v>
      </c>
      <c r="M59" s="573"/>
      <c r="N59" s="574"/>
      <c r="O59" s="574"/>
      <c r="P59" s="574"/>
      <c r="Q59" s="574">
        <v>16</v>
      </c>
      <c r="R59" s="477">
        <f t="shared" si="3"/>
        <v>34</v>
      </c>
      <c r="S59" s="461">
        <f t="shared" si="1"/>
        <v>83.01886792452831</v>
      </c>
      <c r="T59" s="533">
        <f t="shared" si="4"/>
        <v>0</v>
      </c>
    </row>
    <row r="60" spans="1:20" s="534" customFormat="1" ht="23.25" customHeight="1">
      <c r="A60" s="439">
        <v>2</v>
      </c>
      <c r="B60" s="440" t="s">
        <v>490</v>
      </c>
      <c r="C60" s="553">
        <f t="shared" si="21"/>
        <v>165</v>
      </c>
      <c r="D60" s="571">
        <v>73</v>
      </c>
      <c r="E60" s="571">
        <v>92</v>
      </c>
      <c r="F60" s="571">
        <v>8</v>
      </c>
      <c r="G60" s="571"/>
      <c r="H60" s="572">
        <f t="shared" si="23"/>
        <v>157</v>
      </c>
      <c r="I60" s="572">
        <f>J60+K60+L60+M60+N60+O60+P60</f>
        <v>90</v>
      </c>
      <c r="J60" s="571">
        <v>73</v>
      </c>
      <c r="K60" s="571">
        <v>1</v>
      </c>
      <c r="L60" s="573">
        <v>16</v>
      </c>
      <c r="M60" s="573">
        <v>0</v>
      </c>
      <c r="N60" s="574"/>
      <c r="O60" s="574"/>
      <c r="P60" s="574"/>
      <c r="Q60" s="574">
        <v>67</v>
      </c>
      <c r="R60" s="477">
        <f t="shared" si="3"/>
        <v>83</v>
      </c>
      <c r="S60" s="461">
        <f t="shared" si="1"/>
        <v>82.22222222222221</v>
      </c>
      <c r="T60" s="533">
        <f t="shared" si="4"/>
        <v>0</v>
      </c>
    </row>
    <row r="61" spans="1:20" s="534" customFormat="1" ht="23.25" customHeight="1">
      <c r="A61" s="439">
        <v>3</v>
      </c>
      <c r="B61" s="440" t="s">
        <v>491</v>
      </c>
      <c r="C61" s="553">
        <f t="shared" si="21"/>
        <v>217</v>
      </c>
      <c r="D61" s="571">
        <v>82</v>
      </c>
      <c r="E61" s="571">
        <v>135</v>
      </c>
      <c r="F61" s="571">
        <v>8</v>
      </c>
      <c r="G61" s="571"/>
      <c r="H61" s="572">
        <f t="shared" si="23"/>
        <v>209</v>
      </c>
      <c r="I61" s="572">
        <f>J61+K61+L61+M61+N61+O61+P61</f>
        <v>145</v>
      </c>
      <c r="J61" s="571">
        <v>102</v>
      </c>
      <c r="K61" s="571">
        <v>4</v>
      </c>
      <c r="L61" s="573">
        <v>36</v>
      </c>
      <c r="M61" s="573">
        <v>2</v>
      </c>
      <c r="N61" s="574"/>
      <c r="O61" s="574"/>
      <c r="P61" s="574">
        <v>1</v>
      </c>
      <c r="Q61" s="574">
        <v>64</v>
      </c>
      <c r="R61" s="477">
        <f t="shared" si="3"/>
        <v>103</v>
      </c>
      <c r="S61" s="461">
        <f t="shared" si="1"/>
        <v>73.10344827586206</v>
      </c>
      <c r="T61" s="533">
        <f t="shared" si="4"/>
        <v>0</v>
      </c>
    </row>
    <row r="62" spans="1:20" s="534" customFormat="1" ht="23.25" customHeight="1">
      <c r="A62" s="439">
        <v>4</v>
      </c>
      <c r="B62" s="440" t="s">
        <v>492</v>
      </c>
      <c r="C62" s="553">
        <f t="shared" si="21"/>
        <v>213</v>
      </c>
      <c r="D62" s="571">
        <v>127</v>
      </c>
      <c r="E62" s="571">
        <v>86</v>
      </c>
      <c r="F62" s="571">
        <v>2</v>
      </c>
      <c r="G62" s="571"/>
      <c r="H62" s="572">
        <f t="shared" si="23"/>
        <v>211</v>
      </c>
      <c r="I62" s="572">
        <f>J62+K62+L62+M62+N62+O62+P62</f>
        <v>96</v>
      </c>
      <c r="J62" s="571">
        <v>69</v>
      </c>
      <c r="K62" s="571">
        <v>1</v>
      </c>
      <c r="L62" s="573">
        <v>25</v>
      </c>
      <c r="M62" s="573">
        <v>1</v>
      </c>
      <c r="N62" s="574"/>
      <c r="O62" s="574"/>
      <c r="P62" s="574"/>
      <c r="Q62" s="574">
        <v>115</v>
      </c>
      <c r="R62" s="477">
        <f t="shared" si="3"/>
        <v>141</v>
      </c>
      <c r="S62" s="461">
        <f t="shared" si="1"/>
        <v>72.91666666666666</v>
      </c>
      <c r="T62" s="533">
        <f t="shared" si="4"/>
        <v>0</v>
      </c>
    </row>
    <row r="63" spans="1:20" s="446" customFormat="1" ht="23.25" customHeight="1">
      <c r="A63" s="444">
        <v>7</v>
      </c>
      <c r="B63" s="445" t="s">
        <v>544</v>
      </c>
      <c r="C63" s="463">
        <f t="shared" si="21"/>
        <v>1361</v>
      </c>
      <c r="D63" s="464">
        <f>SUM(D64:D70)</f>
        <v>766</v>
      </c>
      <c r="E63" s="464">
        <f>SUM(E64:E70)</f>
        <v>595</v>
      </c>
      <c r="F63" s="464">
        <f>SUM(F64:F70)</f>
        <v>23</v>
      </c>
      <c r="G63" s="464">
        <f>SUM(G64:G70)</f>
        <v>2</v>
      </c>
      <c r="H63" s="463">
        <f t="shared" si="23"/>
        <v>1338</v>
      </c>
      <c r="I63" s="463">
        <f>SUM(J63:P63)</f>
        <v>877</v>
      </c>
      <c r="J63" s="464">
        <f aca="true" t="shared" si="24" ref="J63:Q63">SUM(J64:J70)</f>
        <v>588</v>
      </c>
      <c r="K63" s="464">
        <f t="shared" si="24"/>
        <v>69</v>
      </c>
      <c r="L63" s="464">
        <f t="shared" si="24"/>
        <v>189</v>
      </c>
      <c r="M63" s="464">
        <f t="shared" si="24"/>
        <v>0</v>
      </c>
      <c r="N63" s="464">
        <f t="shared" si="24"/>
        <v>2</v>
      </c>
      <c r="O63" s="464">
        <f t="shared" si="24"/>
        <v>0</v>
      </c>
      <c r="P63" s="464">
        <f t="shared" si="24"/>
        <v>29</v>
      </c>
      <c r="Q63" s="463">
        <f t="shared" si="24"/>
        <v>461</v>
      </c>
      <c r="R63" s="476">
        <f t="shared" si="3"/>
        <v>681</v>
      </c>
      <c r="S63" s="460">
        <f t="shared" si="1"/>
        <v>74.9144811858609</v>
      </c>
      <c r="T63" s="447">
        <f t="shared" si="4"/>
        <v>0</v>
      </c>
    </row>
    <row r="64" spans="1:20" s="534" customFormat="1" ht="23.25" customHeight="1">
      <c r="A64" s="439" t="s">
        <v>43</v>
      </c>
      <c r="B64" s="440" t="s">
        <v>493</v>
      </c>
      <c r="C64" s="553">
        <f aca="true" t="shared" si="25" ref="C64:C70">D64+E64</f>
        <v>44</v>
      </c>
      <c r="D64" s="575">
        <v>5</v>
      </c>
      <c r="E64" s="575">
        <f>31+8</f>
        <v>39</v>
      </c>
      <c r="F64" s="575"/>
      <c r="G64" s="575"/>
      <c r="H64" s="575">
        <f t="shared" si="23"/>
        <v>44</v>
      </c>
      <c r="I64" s="575">
        <f aca="true" t="shared" si="26" ref="I64:I70">SUM(J64:P64)</f>
        <v>44</v>
      </c>
      <c r="J64" s="575">
        <f>29+5</f>
        <v>34</v>
      </c>
      <c r="K64" s="575">
        <v>1</v>
      </c>
      <c r="L64" s="575">
        <f>14-5</f>
        <v>9</v>
      </c>
      <c r="M64" s="575"/>
      <c r="N64" s="575"/>
      <c r="O64" s="575"/>
      <c r="P64" s="576"/>
      <c r="Q64" s="577">
        <v>0</v>
      </c>
      <c r="R64" s="477">
        <f t="shared" si="3"/>
        <v>9</v>
      </c>
      <c r="S64" s="461">
        <f t="shared" si="1"/>
        <v>79.54545454545455</v>
      </c>
      <c r="T64" s="533">
        <f t="shared" si="4"/>
        <v>0</v>
      </c>
    </row>
    <row r="65" spans="1:20" s="534" customFormat="1" ht="23.25" customHeight="1">
      <c r="A65" s="439" t="s">
        <v>44</v>
      </c>
      <c r="B65" s="440" t="s">
        <v>494</v>
      </c>
      <c r="C65" s="553">
        <f t="shared" si="25"/>
        <v>208</v>
      </c>
      <c r="D65" s="575">
        <v>117</v>
      </c>
      <c r="E65" s="575">
        <v>91</v>
      </c>
      <c r="F65" s="575">
        <v>4</v>
      </c>
      <c r="G65" s="575">
        <v>1</v>
      </c>
      <c r="H65" s="575">
        <f aca="true" t="shared" si="27" ref="H65:H70">I65+Q65</f>
        <v>204</v>
      </c>
      <c r="I65" s="575">
        <f t="shared" si="26"/>
        <v>120</v>
      </c>
      <c r="J65" s="575">
        <v>84</v>
      </c>
      <c r="K65" s="575">
        <v>6</v>
      </c>
      <c r="L65" s="575">
        <v>28</v>
      </c>
      <c r="M65" s="575"/>
      <c r="N65" s="575">
        <v>2</v>
      </c>
      <c r="O65" s="575"/>
      <c r="P65" s="576">
        <v>0</v>
      </c>
      <c r="Q65" s="577">
        <v>84</v>
      </c>
      <c r="R65" s="477">
        <f t="shared" si="3"/>
        <v>114</v>
      </c>
      <c r="S65" s="461">
        <f t="shared" si="1"/>
        <v>75</v>
      </c>
      <c r="T65" s="533">
        <f t="shared" si="4"/>
        <v>0</v>
      </c>
    </row>
    <row r="66" spans="1:20" s="534" customFormat="1" ht="23.25" customHeight="1">
      <c r="A66" s="439" t="s">
        <v>47</v>
      </c>
      <c r="B66" s="440" t="s">
        <v>563</v>
      </c>
      <c r="C66" s="553">
        <f t="shared" si="25"/>
        <v>261</v>
      </c>
      <c r="D66" s="575">
        <v>166</v>
      </c>
      <c r="E66" s="575">
        <f>84+11</f>
        <v>95</v>
      </c>
      <c r="F66" s="575">
        <v>3</v>
      </c>
      <c r="G66" s="575"/>
      <c r="H66" s="575">
        <f t="shared" si="27"/>
        <v>258</v>
      </c>
      <c r="I66" s="575">
        <f t="shared" si="26"/>
        <v>163</v>
      </c>
      <c r="J66" s="575">
        <f>90+13</f>
        <v>103</v>
      </c>
      <c r="K66" s="575">
        <f>1+11</f>
        <v>12</v>
      </c>
      <c r="L66" s="575">
        <f>46</f>
        <v>46</v>
      </c>
      <c r="M66" s="575"/>
      <c r="N66" s="575"/>
      <c r="O66" s="575"/>
      <c r="P66" s="576">
        <v>2</v>
      </c>
      <c r="Q66" s="577">
        <f>95</f>
        <v>95</v>
      </c>
      <c r="R66" s="477">
        <f t="shared" si="3"/>
        <v>143</v>
      </c>
      <c r="S66" s="461">
        <f t="shared" si="1"/>
        <v>70.5521472392638</v>
      </c>
      <c r="T66" s="533">
        <f t="shared" si="4"/>
        <v>0</v>
      </c>
    </row>
    <row r="67" spans="1:20" s="534" customFormat="1" ht="23.25" customHeight="1">
      <c r="A67" s="439" t="s">
        <v>56</v>
      </c>
      <c r="B67" s="440" t="s">
        <v>496</v>
      </c>
      <c r="C67" s="553">
        <f t="shared" si="25"/>
        <v>51</v>
      </c>
      <c r="D67" s="575">
        <v>8</v>
      </c>
      <c r="E67" s="575">
        <v>43</v>
      </c>
      <c r="F67" s="575"/>
      <c r="G67" s="575"/>
      <c r="H67" s="575">
        <f t="shared" si="27"/>
        <v>51</v>
      </c>
      <c r="I67" s="575">
        <f t="shared" si="26"/>
        <v>51</v>
      </c>
      <c r="J67" s="575">
        <v>45</v>
      </c>
      <c r="K67" s="575"/>
      <c r="L67" s="575">
        <v>6</v>
      </c>
      <c r="M67" s="575"/>
      <c r="N67" s="575"/>
      <c r="O67" s="575"/>
      <c r="P67" s="576">
        <v>0</v>
      </c>
      <c r="Q67" s="577">
        <v>0</v>
      </c>
      <c r="R67" s="477">
        <f t="shared" si="3"/>
        <v>6</v>
      </c>
      <c r="S67" s="461">
        <f t="shared" si="1"/>
        <v>88.23529411764706</v>
      </c>
      <c r="T67" s="533">
        <f t="shared" si="4"/>
        <v>0</v>
      </c>
    </row>
    <row r="68" spans="1:20" s="534" customFormat="1" ht="23.25" customHeight="1">
      <c r="A68" s="439" t="s">
        <v>57</v>
      </c>
      <c r="B68" s="440" t="s">
        <v>497</v>
      </c>
      <c r="C68" s="553">
        <f t="shared" si="25"/>
        <v>294</v>
      </c>
      <c r="D68" s="575">
        <v>173</v>
      </c>
      <c r="E68" s="575">
        <v>121</v>
      </c>
      <c r="F68" s="575">
        <v>11</v>
      </c>
      <c r="G68" s="575">
        <v>1</v>
      </c>
      <c r="H68" s="575">
        <f t="shared" si="27"/>
        <v>283</v>
      </c>
      <c r="I68" s="575">
        <f t="shared" si="26"/>
        <v>185</v>
      </c>
      <c r="J68" s="575">
        <v>109</v>
      </c>
      <c r="K68" s="575">
        <v>30</v>
      </c>
      <c r="L68" s="575">
        <v>34</v>
      </c>
      <c r="M68" s="575"/>
      <c r="N68" s="575"/>
      <c r="O68" s="575"/>
      <c r="P68" s="576">
        <v>12</v>
      </c>
      <c r="Q68" s="577">
        <f>96+2</f>
        <v>98</v>
      </c>
      <c r="R68" s="477">
        <f t="shared" si="3"/>
        <v>144</v>
      </c>
      <c r="S68" s="461">
        <f t="shared" si="1"/>
        <v>75.13513513513513</v>
      </c>
      <c r="T68" s="533">
        <f t="shared" si="4"/>
        <v>0</v>
      </c>
    </row>
    <row r="69" spans="1:20" s="534" customFormat="1" ht="23.25" customHeight="1">
      <c r="A69" s="439" t="s">
        <v>58</v>
      </c>
      <c r="B69" s="440" t="s">
        <v>498</v>
      </c>
      <c r="C69" s="553">
        <f t="shared" si="25"/>
        <v>232</v>
      </c>
      <c r="D69" s="575">
        <v>155</v>
      </c>
      <c r="E69" s="575">
        <v>77</v>
      </c>
      <c r="F69" s="575">
        <v>2</v>
      </c>
      <c r="G69" s="575"/>
      <c r="H69" s="575">
        <f t="shared" si="27"/>
        <v>230</v>
      </c>
      <c r="I69" s="575">
        <f t="shared" si="26"/>
        <v>150</v>
      </c>
      <c r="J69" s="575">
        <v>99</v>
      </c>
      <c r="K69" s="575">
        <v>13</v>
      </c>
      <c r="L69" s="575">
        <v>37</v>
      </c>
      <c r="M69" s="575"/>
      <c r="N69" s="575"/>
      <c r="O69" s="575"/>
      <c r="P69" s="576">
        <v>1</v>
      </c>
      <c r="Q69" s="577">
        <v>80</v>
      </c>
      <c r="R69" s="477">
        <f t="shared" si="3"/>
        <v>118</v>
      </c>
      <c r="S69" s="461">
        <f t="shared" si="1"/>
        <v>74.66666666666667</v>
      </c>
      <c r="T69" s="533">
        <f t="shared" si="4"/>
        <v>0</v>
      </c>
    </row>
    <row r="70" spans="1:20" s="534" customFormat="1" ht="23.25" customHeight="1">
      <c r="A70" s="439" t="s">
        <v>59</v>
      </c>
      <c r="B70" s="440" t="s">
        <v>499</v>
      </c>
      <c r="C70" s="553">
        <f t="shared" si="25"/>
        <v>271</v>
      </c>
      <c r="D70" s="575">
        <v>142</v>
      </c>
      <c r="E70" s="575">
        <v>129</v>
      </c>
      <c r="F70" s="575">
        <v>3</v>
      </c>
      <c r="G70" s="575"/>
      <c r="H70" s="575">
        <f t="shared" si="27"/>
        <v>268</v>
      </c>
      <c r="I70" s="575">
        <f t="shared" si="26"/>
        <v>164</v>
      </c>
      <c r="J70" s="575">
        <v>114</v>
      </c>
      <c r="K70" s="575">
        <v>7</v>
      </c>
      <c r="L70" s="575">
        <v>29</v>
      </c>
      <c r="M70" s="575"/>
      <c r="N70" s="575"/>
      <c r="O70" s="575"/>
      <c r="P70" s="576">
        <v>14</v>
      </c>
      <c r="Q70" s="577">
        <v>104</v>
      </c>
      <c r="R70" s="477">
        <f t="shared" si="3"/>
        <v>147</v>
      </c>
      <c r="S70" s="461">
        <f t="shared" si="1"/>
        <v>73.78048780487805</v>
      </c>
      <c r="T70" s="533">
        <f t="shared" si="4"/>
        <v>0</v>
      </c>
    </row>
    <row r="71" spans="1:20" s="446" customFormat="1" ht="23.25" customHeight="1">
      <c r="A71" s="443">
        <v>8</v>
      </c>
      <c r="B71" s="442" t="s">
        <v>500</v>
      </c>
      <c r="C71" s="463">
        <f>C72+C73+C74</f>
        <v>576</v>
      </c>
      <c r="D71" s="464">
        <f aca="true" t="shared" si="28" ref="D71:Q71">D72+D73+D74</f>
        <v>183</v>
      </c>
      <c r="E71" s="464">
        <f t="shared" si="28"/>
        <v>393</v>
      </c>
      <c r="F71" s="464">
        <f t="shared" si="28"/>
        <v>19</v>
      </c>
      <c r="G71" s="464">
        <f t="shared" si="28"/>
        <v>0</v>
      </c>
      <c r="H71" s="463">
        <f t="shared" si="28"/>
        <v>557</v>
      </c>
      <c r="I71" s="463">
        <f t="shared" si="28"/>
        <v>413</v>
      </c>
      <c r="J71" s="464">
        <f t="shared" si="28"/>
        <v>307</v>
      </c>
      <c r="K71" s="464">
        <f t="shared" si="28"/>
        <v>11</v>
      </c>
      <c r="L71" s="464">
        <f t="shared" si="28"/>
        <v>95</v>
      </c>
      <c r="M71" s="464">
        <f t="shared" si="28"/>
        <v>0</v>
      </c>
      <c r="N71" s="464">
        <f t="shared" si="28"/>
        <v>0</v>
      </c>
      <c r="O71" s="464">
        <f t="shared" si="28"/>
        <v>0</v>
      </c>
      <c r="P71" s="464">
        <f t="shared" si="28"/>
        <v>0</v>
      </c>
      <c r="Q71" s="463">
        <f t="shared" si="28"/>
        <v>144</v>
      </c>
      <c r="R71" s="476">
        <f t="shared" si="3"/>
        <v>239</v>
      </c>
      <c r="S71" s="460">
        <f t="shared" si="1"/>
        <v>76.99757869249395</v>
      </c>
      <c r="T71" s="447">
        <f t="shared" si="4"/>
        <v>0</v>
      </c>
    </row>
    <row r="72" spans="1:20" s="534" customFormat="1" ht="23.25" customHeight="1">
      <c r="A72" s="439" t="s">
        <v>501</v>
      </c>
      <c r="B72" s="547" t="s">
        <v>502</v>
      </c>
      <c r="C72" s="578">
        <f>D72+E72</f>
        <v>237</v>
      </c>
      <c r="D72" s="578">
        <v>41</v>
      </c>
      <c r="E72" s="578">
        <v>196</v>
      </c>
      <c r="F72" s="578">
        <v>16</v>
      </c>
      <c r="G72" s="578"/>
      <c r="H72" s="578">
        <f>I72+Q72</f>
        <v>221</v>
      </c>
      <c r="I72" s="578">
        <f>J72+K72+L72+M72+N72+O72+P72</f>
        <v>194</v>
      </c>
      <c r="J72" s="578">
        <v>154</v>
      </c>
      <c r="K72" s="578">
        <v>3</v>
      </c>
      <c r="L72" s="578">
        <v>37</v>
      </c>
      <c r="M72" s="578"/>
      <c r="N72" s="578"/>
      <c r="O72" s="578"/>
      <c r="P72" s="578"/>
      <c r="Q72" s="578">
        <v>27</v>
      </c>
      <c r="R72" s="477">
        <f t="shared" si="3"/>
        <v>64</v>
      </c>
      <c r="S72" s="461">
        <f t="shared" si="1"/>
        <v>80.9278350515464</v>
      </c>
      <c r="T72" s="533">
        <f t="shared" si="4"/>
        <v>0</v>
      </c>
    </row>
    <row r="73" spans="1:20" s="534" customFormat="1" ht="23.25" customHeight="1">
      <c r="A73" s="439" t="s">
        <v>503</v>
      </c>
      <c r="B73" s="547" t="s">
        <v>504</v>
      </c>
      <c r="C73" s="578">
        <f>D73+E73</f>
        <v>217</v>
      </c>
      <c r="D73" s="578">
        <v>59</v>
      </c>
      <c r="E73" s="578">
        <v>158</v>
      </c>
      <c r="F73" s="578">
        <v>3</v>
      </c>
      <c r="G73" s="578"/>
      <c r="H73" s="578">
        <f>I73+Q73</f>
        <v>214</v>
      </c>
      <c r="I73" s="578">
        <f>J73+K73+L73+M73+N73+O73+P73</f>
        <v>172</v>
      </c>
      <c r="J73" s="578">
        <v>138</v>
      </c>
      <c r="K73" s="578">
        <v>8</v>
      </c>
      <c r="L73" s="578">
        <v>26</v>
      </c>
      <c r="M73" s="578"/>
      <c r="N73" s="578"/>
      <c r="O73" s="578"/>
      <c r="P73" s="578"/>
      <c r="Q73" s="578">
        <v>42</v>
      </c>
      <c r="R73" s="477">
        <f t="shared" si="3"/>
        <v>68</v>
      </c>
      <c r="S73" s="461">
        <f t="shared" si="1"/>
        <v>84.88372093023256</v>
      </c>
      <c r="T73" s="533">
        <f t="shared" si="4"/>
        <v>0</v>
      </c>
    </row>
    <row r="74" spans="1:20" s="534" customFormat="1" ht="23.25" customHeight="1">
      <c r="A74" s="439" t="s">
        <v>564</v>
      </c>
      <c r="B74" s="547" t="s">
        <v>495</v>
      </c>
      <c r="C74" s="578">
        <f>D74+E74</f>
        <v>122</v>
      </c>
      <c r="D74" s="578">
        <v>83</v>
      </c>
      <c r="E74" s="578">
        <v>39</v>
      </c>
      <c r="F74" s="578"/>
      <c r="G74" s="578"/>
      <c r="H74" s="578">
        <f>I74+Q74</f>
        <v>122</v>
      </c>
      <c r="I74" s="578">
        <f>J74+K74+L74+M74+N74+O74+P74</f>
        <v>47</v>
      </c>
      <c r="J74" s="578">
        <v>15</v>
      </c>
      <c r="K74" s="578"/>
      <c r="L74" s="578">
        <v>32</v>
      </c>
      <c r="M74" s="578"/>
      <c r="N74" s="578"/>
      <c r="O74" s="578"/>
      <c r="P74" s="578"/>
      <c r="Q74" s="578">
        <v>75</v>
      </c>
      <c r="R74" s="477">
        <f aca="true" t="shared" si="29" ref="R74:R116">H74-J74-K74</f>
        <v>107</v>
      </c>
      <c r="S74" s="461">
        <f t="shared" si="1"/>
        <v>31.914893617021278</v>
      </c>
      <c r="T74" s="533">
        <f t="shared" si="4"/>
        <v>0</v>
      </c>
    </row>
    <row r="75" spans="1:20" s="446" customFormat="1" ht="23.25" customHeight="1">
      <c r="A75" s="443">
        <v>9</v>
      </c>
      <c r="B75" s="442" t="s">
        <v>505</v>
      </c>
      <c r="C75" s="470">
        <f>SUM(C76:C78)</f>
        <v>499</v>
      </c>
      <c r="D75" s="470">
        <f aca="true" t="shared" si="30" ref="D75:Q75">SUM(D76:D78)</f>
        <v>176</v>
      </c>
      <c r="E75" s="470">
        <f t="shared" si="30"/>
        <v>323</v>
      </c>
      <c r="F75" s="470">
        <f t="shared" si="30"/>
        <v>8</v>
      </c>
      <c r="G75" s="470">
        <f t="shared" si="30"/>
        <v>0</v>
      </c>
      <c r="H75" s="470">
        <f t="shared" si="30"/>
        <v>491</v>
      </c>
      <c r="I75" s="470">
        <f t="shared" si="30"/>
        <v>362</v>
      </c>
      <c r="J75" s="470">
        <f t="shared" si="30"/>
        <v>265</v>
      </c>
      <c r="K75" s="470">
        <f t="shared" si="30"/>
        <v>3</v>
      </c>
      <c r="L75" s="470">
        <f t="shared" si="30"/>
        <v>87</v>
      </c>
      <c r="M75" s="470">
        <f t="shared" si="30"/>
        <v>7</v>
      </c>
      <c r="N75" s="470">
        <f t="shared" si="30"/>
        <v>0</v>
      </c>
      <c r="O75" s="470">
        <f t="shared" si="30"/>
        <v>0</v>
      </c>
      <c r="P75" s="470">
        <f t="shared" si="30"/>
        <v>0</v>
      </c>
      <c r="Q75" s="470">
        <f t="shared" si="30"/>
        <v>129</v>
      </c>
      <c r="R75" s="476">
        <f t="shared" si="29"/>
        <v>223</v>
      </c>
      <c r="S75" s="460">
        <f aca="true" t="shared" si="31" ref="S75:S116">(J75+K75)/I75*100</f>
        <v>74.03314917127072</v>
      </c>
      <c r="T75" s="447">
        <f aca="true" t="shared" si="32" ref="T75:T116">C75-F75-H75</f>
        <v>0</v>
      </c>
    </row>
    <row r="76" spans="1:20" s="534" customFormat="1" ht="23.25" customHeight="1">
      <c r="A76" s="439" t="s">
        <v>506</v>
      </c>
      <c r="B76" s="440" t="s">
        <v>507</v>
      </c>
      <c r="C76" s="548">
        <f>SUM(D76:E76)</f>
        <v>147</v>
      </c>
      <c r="D76" s="548">
        <v>43</v>
      </c>
      <c r="E76" s="548">
        <v>104</v>
      </c>
      <c r="F76" s="548">
        <v>1</v>
      </c>
      <c r="G76" s="548">
        <v>0</v>
      </c>
      <c r="H76" s="579">
        <f>SUM(I76,Q76)</f>
        <v>146</v>
      </c>
      <c r="I76" s="579">
        <f>SUM(J76:P76)</f>
        <v>108</v>
      </c>
      <c r="J76" s="548">
        <v>88</v>
      </c>
      <c r="K76" s="548">
        <f>1</f>
        <v>1</v>
      </c>
      <c r="L76" s="548">
        <f>C76-J76-K76-M76-N76-O76-P76-Q76-F76-G76</f>
        <v>19</v>
      </c>
      <c r="M76" s="548">
        <v>0</v>
      </c>
      <c r="N76" s="548">
        <v>0</v>
      </c>
      <c r="O76" s="548">
        <v>0</v>
      </c>
      <c r="P76" s="580">
        <v>0</v>
      </c>
      <c r="Q76" s="581">
        <v>38</v>
      </c>
      <c r="R76" s="477">
        <f t="shared" si="29"/>
        <v>57</v>
      </c>
      <c r="S76" s="461">
        <f t="shared" si="31"/>
        <v>82.4074074074074</v>
      </c>
      <c r="T76" s="533">
        <f t="shared" si="32"/>
        <v>0</v>
      </c>
    </row>
    <row r="77" spans="1:20" s="534" customFormat="1" ht="23.25" customHeight="1">
      <c r="A77" s="439" t="s">
        <v>508</v>
      </c>
      <c r="B77" s="440" t="s">
        <v>509</v>
      </c>
      <c r="C77" s="548">
        <f>SUM(D77:E77)</f>
        <v>213</v>
      </c>
      <c r="D77" s="548">
        <v>79</v>
      </c>
      <c r="E77" s="548">
        <v>134</v>
      </c>
      <c r="F77" s="548">
        <v>2</v>
      </c>
      <c r="G77" s="548">
        <v>0</v>
      </c>
      <c r="H77" s="579">
        <f>SUM(I77,Q77)</f>
        <v>211</v>
      </c>
      <c r="I77" s="579">
        <f>SUM(J77:P77)</f>
        <v>162</v>
      </c>
      <c r="J77" s="548">
        <v>100</v>
      </c>
      <c r="K77" s="548">
        <v>2</v>
      </c>
      <c r="L77" s="548">
        <f>C77-J77-K77-M77-N77-O77-P77-Q77-F77-G77</f>
        <v>53</v>
      </c>
      <c r="M77" s="548">
        <v>7</v>
      </c>
      <c r="N77" s="548">
        <v>0</v>
      </c>
      <c r="O77" s="548">
        <v>0</v>
      </c>
      <c r="P77" s="580">
        <v>0</v>
      </c>
      <c r="Q77" s="581">
        <v>49</v>
      </c>
      <c r="R77" s="477">
        <f t="shared" si="29"/>
        <v>109</v>
      </c>
      <c r="S77" s="461">
        <f t="shared" si="31"/>
        <v>62.96296296296296</v>
      </c>
      <c r="T77" s="533">
        <f t="shared" si="32"/>
        <v>0</v>
      </c>
    </row>
    <row r="78" spans="1:20" s="534" customFormat="1" ht="23.25" customHeight="1">
      <c r="A78" s="439" t="s">
        <v>510</v>
      </c>
      <c r="B78" s="440" t="s">
        <v>511</v>
      </c>
      <c r="C78" s="548">
        <f>SUM(D78:E78)</f>
        <v>139</v>
      </c>
      <c r="D78" s="548">
        <v>54</v>
      </c>
      <c r="E78" s="548">
        <v>85</v>
      </c>
      <c r="F78" s="548">
        <v>5</v>
      </c>
      <c r="G78" s="548">
        <v>0</v>
      </c>
      <c r="H78" s="579">
        <f>SUM(I78,Q78)</f>
        <v>134</v>
      </c>
      <c r="I78" s="579">
        <f>SUM(J78:P78)</f>
        <v>92</v>
      </c>
      <c r="J78" s="548">
        <v>77</v>
      </c>
      <c r="K78" s="548">
        <v>0</v>
      </c>
      <c r="L78" s="548">
        <f>C78-J78-K78-M78-N78-O78-P78-Q78-F78-G78</f>
        <v>15</v>
      </c>
      <c r="M78" s="548">
        <v>0</v>
      </c>
      <c r="N78" s="548">
        <v>0</v>
      </c>
      <c r="O78" s="548">
        <v>0</v>
      </c>
      <c r="P78" s="580">
        <f>0</f>
        <v>0</v>
      </c>
      <c r="Q78" s="581">
        <v>42</v>
      </c>
      <c r="R78" s="477">
        <f t="shared" si="29"/>
        <v>57</v>
      </c>
      <c r="S78" s="461">
        <f t="shared" si="31"/>
        <v>83.69565217391305</v>
      </c>
      <c r="T78" s="533">
        <f t="shared" si="32"/>
        <v>0</v>
      </c>
    </row>
    <row r="79" spans="1:20" s="446" customFormat="1" ht="23.25" customHeight="1">
      <c r="A79" s="443">
        <v>10</v>
      </c>
      <c r="B79" s="442" t="s">
        <v>512</v>
      </c>
      <c r="C79" s="465">
        <f>SUM(C80:C88)</f>
        <v>2263</v>
      </c>
      <c r="D79" s="465">
        <f aca="true" t="shared" si="33" ref="D79:Q79">SUM(D80:D88)</f>
        <v>1529</v>
      </c>
      <c r="E79" s="465">
        <f t="shared" si="33"/>
        <v>734</v>
      </c>
      <c r="F79" s="465">
        <f t="shared" si="33"/>
        <v>24</v>
      </c>
      <c r="G79" s="465">
        <f t="shared" si="33"/>
        <v>0</v>
      </c>
      <c r="H79" s="465">
        <f t="shared" si="33"/>
        <v>2239</v>
      </c>
      <c r="I79" s="465">
        <f t="shared" si="33"/>
        <v>1573</v>
      </c>
      <c r="J79" s="465">
        <f t="shared" si="33"/>
        <v>740</v>
      </c>
      <c r="K79" s="465">
        <f t="shared" si="33"/>
        <v>22</v>
      </c>
      <c r="L79" s="465">
        <f t="shared" si="33"/>
        <v>747</v>
      </c>
      <c r="M79" s="465">
        <f t="shared" si="33"/>
        <v>58</v>
      </c>
      <c r="N79" s="465">
        <f t="shared" si="33"/>
        <v>0</v>
      </c>
      <c r="O79" s="465">
        <f t="shared" si="33"/>
        <v>0</v>
      </c>
      <c r="P79" s="465">
        <f t="shared" si="33"/>
        <v>6</v>
      </c>
      <c r="Q79" s="465">
        <f t="shared" si="33"/>
        <v>666</v>
      </c>
      <c r="R79" s="476">
        <f t="shared" si="29"/>
        <v>1477</v>
      </c>
      <c r="S79" s="460">
        <f t="shared" si="31"/>
        <v>48.442466624284805</v>
      </c>
      <c r="T79" s="447">
        <f t="shared" si="32"/>
        <v>0</v>
      </c>
    </row>
    <row r="80" spans="1:20" s="534" customFormat="1" ht="23.25" customHeight="1">
      <c r="A80" s="439" t="s">
        <v>545</v>
      </c>
      <c r="B80" s="440" t="s">
        <v>513</v>
      </c>
      <c r="C80" s="582">
        <v>50</v>
      </c>
      <c r="D80" s="582">
        <v>32</v>
      </c>
      <c r="E80" s="582">
        <v>18</v>
      </c>
      <c r="F80" s="582">
        <v>1</v>
      </c>
      <c r="G80" s="582">
        <v>0</v>
      </c>
      <c r="H80" s="582">
        <v>49</v>
      </c>
      <c r="I80" s="582">
        <v>31</v>
      </c>
      <c r="J80" s="582">
        <v>18</v>
      </c>
      <c r="K80" s="582">
        <v>0</v>
      </c>
      <c r="L80" s="582">
        <v>13</v>
      </c>
      <c r="M80" s="582">
        <v>0</v>
      </c>
      <c r="N80" s="582">
        <v>0</v>
      </c>
      <c r="O80" s="582">
        <v>0</v>
      </c>
      <c r="P80" s="582">
        <v>0</v>
      </c>
      <c r="Q80" s="582">
        <v>18</v>
      </c>
      <c r="R80" s="477">
        <f t="shared" si="29"/>
        <v>31</v>
      </c>
      <c r="S80" s="461">
        <f t="shared" si="31"/>
        <v>58.06451612903226</v>
      </c>
      <c r="T80" s="533">
        <f t="shared" si="32"/>
        <v>0</v>
      </c>
    </row>
    <row r="81" spans="1:20" s="534" customFormat="1" ht="23.25" customHeight="1">
      <c r="A81" s="439" t="s">
        <v>546</v>
      </c>
      <c r="B81" s="440" t="s">
        <v>514</v>
      </c>
      <c r="C81" s="583">
        <v>265</v>
      </c>
      <c r="D81" s="583">
        <v>205</v>
      </c>
      <c r="E81" s="583">
        <v>60</v>
      </c>
      <c r="F81" s="583">
        <v>0</v>
      </c>
      <c r="G81" s="583">
        <v>0</v>
      </c>
      <c r="H81" s="583">
        <v>265</v>
      </c>
      <c r="I81" s="583">
        <v>208</v>
      </c>
      <c r="J81" s="583">
        <v>84</v>
      </c>
      <c r="K81" s="583">
        <v>6</v>
      </c>
      <c r="L81" s="583">
        <v>118</v>
      </c>
      <c r="M81" s="583">
        <v>0</v>
      </c>
      <c r="N81" s="583">
        <v>0</v>
      </c>
      <c r="O81" s="583">
        <v>0</v>
      </c>
      <c r="P81" s="583">
        <v>0</v>
      </c>
      <c r="Q81" s="583">
        <v>57</v>
      </c>
      <c r="R81" s="477">
        <f t="shared" si="29"/>
        <v>175</v>
      </c>
      <c r="S81" s="461">
        <f t="shared" si="31"/>
        <v>43.269230769230774</v>
      </c>
      <c r="T81" s="533">
        <f t="shared" si="32"/>
        <v>0</v>
      </c>
    </row>
    <row r="82" spans="1:20" s="534" customFormat="1" ht="23.25" customHeight="1">
      <c r="A82" s="439" t="s">
        <v>547</v>
      </c>
      <c r="B82" s="440" t="s">
        <v>515</v>
      </c>
      <c r="C82" s="583">
        <v>321</v>
      </c>
      <c r="D82" s="583">
        <v>230</v>
      </c>
      <c r="E82" s="583">
        <v>91</v>
      </c>
      <c r="F82" s="583">
        <v>5</v>
      </c>
      <c r="G82" s="583">
        <v>0</v>
      </c>
      <c r="H82" s="583">
        <v>316</v>
      </c>
      <c r="I82" s="583">
        <v>208</v>
      </c>
      <c r="J82" s="583">
        <v>100</v>
      </c>
      <c r="K82" s="583">
        <v>7</v>
      </c>
      <c r="L82" s="583">
        <v>70</v>
      </c>
      <c r="M82" s="583">
        <v>28</v>
      </c>
      <c r="N82" s="583">
        <v>0</v>
      </c>
      <c r="O82" s="583">
        <v>0</v>
      </c>
      <c r="P82" s="583">
        <v>3</v>
      </c>
      <c r="Q82" s="583">
        <v>108</v>
      </c>
      <c r="R82" s="477">
        <f t="shared" si="29"/>
        <v>209</v>
      </c>
      <c r="S82" s="461">
        <f t="shared" si="31"/>
        <v>51.442307692307686</v>
      </c>
      <c r="T82" s="533">
        <f t="shared" si="32"/>
        <v>0</v>
      </c>
    </row>
    <row r="83" spans="1:20" s="534" customFormat="1" ht="23.25" customHeight="1">
      <c r="A83" s="439" t="s">
        <v>548</v>
      </c>
      <c r="B83" s="440" t="s">
        <v>516</v>
      </c>
      <c r="C83" s="583">
        <v>246</v>
      </c>
      <c r="D83" s="583">
        <v>170</v>
      </c>
      <c r="E83" s="583">
        <v>76</v>
      </c>
      <c r="F83" s="583">
        <v>4</v>
      </c>
      <c r="G83" s="583">
        <v>0</v>
      </c>
      <c r="H83" s="583">
        <v>242</v>
      </c>
      <c r="I83" s="583">
        <v>138</v>
      </c>
      <c r="J83" s="583">
        <v>74</v>
      </c>
      <c r="K83" s="583">
        <v>1</v>
      </c>
      <c r="L83" s="583">
        <v>61</v>
      </c>
      <c r="M83" s="583">
        <v>0</v>
      </c>
      <c r="N83" s="583">
        <v>0</v>
      </c>
      <c r="O83" s="583">
        <v>0</v>
      </c>
      <c r="P83" s="583">
        <v>2</v>
      </c>
      <c r="Q83" s="583">
        <v>104</v>
      </c>
      <c r="R83" s="477">
        <f t="shared" si="29"/>
        <v>167</v>
      </c>
      <c r="S83" s="461">
        <f t="shared" si="31"/>
        <v>54.347826086956516</v>
      </c>
      <c r="T83" s="533">
        <f t="shared" si="32"/>
        <v>0</v>
      </c>
    </row>
    <row r="84" spans="1:20" s="534" customFormat="1" ht="23.25" customHeight="1">
      <c r="A84" s="439" t="s">
        <v>549</v>
      </c>
      <c r="B84" s="440" t="s">
        <v>517</v>
      </c>
      <c r="C84" s="583">
        <v>304</v>
      </c>
      <c r="D84" s="583">
        <v>190</v>
      </c>
      <c r="E84" s="583">
        <v>114</v>
      </c>
      <c r="F84" s="583">
        <v>3</v>
      </c>
      <c r="G84" s="583">
        <v>0</v>
      </c>
      <c r="H84" s="583">
        <v>301</v>
      </c>
      <c r="I84" s="583">
        <v>253</v>
      </c>
      <c r="J84" s="583">
        <v>116</v>
      </c>
      <c r="K84" s="583">
        <v>0</v>
      </c>
      <c r="L84" s="583">
        <v>136</v>
      </c>
      <c r="M84" s="583">
        <v>1</v>
      </c>
      <c r="N84" s="583">
        <v>0</v>
      </c>
      <c r="O84" s="583">
        <v>0</v>
      </c>
      <c r="P84" s="583">
        <v>0</v>
      </c>
      <c r="Q84" s="583">
        <v>48</v>
      </c>
      <c r="R84" s="477">
        <f t="shared" si="29"/>
        <v>185</v>
      </c>
      <c r="S84" s="461">
        <f t="shared" si="31"/>
        <v>45.8498023715415</v>
      </c>
      <c r="T84" s="533">
        <f t="shared" si="32"/>
        <v>0</v>
      </c>
    </row>
    <row r="85" spans="1:20" s="534" customFormat="1" ht="23.25" customHeight="1">
      <c r="A85" s="439" t="s">
        <v>518</v>
      </c>
      <c r="B85" s="440" t="s">
        <v>519</v>
      </c>
      <c r="C85" s="583">
        <v>254</v>
      </c>
      <c r="D85" s="583">
        <v>144</v>
      </c>
      <c r="E85" s="583">
        <v>110</v>
      </c>
      <c r="F85" s="583">
        <v>3</v>
      </c>
      <c r="G85" s="583">
        <v>0</v>
      </c>
      <c r="H85" s="583">
        <v>251</v>
      </c>
      <c r="I85" s="583">
        <v>173</v>
      </c>
      <c r="J85" s="583">
        <v>104</v>
      </c>
      <c r="K85" s="583">
        <v>1</v>
      </c>
      <c r="L85" s="583">
        <v>41</v>
      </c>
      <c r="M85" s="583">
        <v>26</v>
      </c>
      <c r="N85" s="583">
        <v>0</v>
      </c>
      <c r="O85" s="583">
        <v>0</v>
      </c>
      <c r="P85" s="583">
        <v>1</v>
      </c>
      <c r="Q85" s="583">
        <v>78</v>
      </c>
      <c r="R85" s="477">
        <f t="shared" si="29"/>
        <v>146</v>
      </c>
      <c r="S85" s="461">
        <f t="shared" si="31"/>
        <v>60.69364161849711</v>
      </c>
      <c r="T85" s="533">
        <f t="shared" si="32"/>
        <v>0</v>
      </c>
    </row>
    <row r="86" spans="1:20" s="534" customFormat="1" ht="23.25" customHeight="1">
      <c r="A86" s="439" t="s">
        <v>520</v>
      </c>
      <c r="B86" s="440" t="s">
        <v>521</v>
      </c>
      <c r="C86" s="584">
        <v>311</v>
      </c>
      <c r="D86" s="584">
        <v>227</v>
      </c>
      <c r="E86" s="584">
        <v>84</v>
      </c>
      <c r="F86" s="584">
        <v>0</v>
      </c>
      <c r="G86" s="584">
        <v>0</v>
      </c>
      <c r="H86" s="584">
        <v>311</v>
      </c>
      <c r="I86" s="584">
        <v>271</v>
      </c>
      <c r="J86" s="584">
        <v>92</v>
      </c>
      <c r="K86" s="584">
        <v>2</v>
      </c>
      <c r="L86" s="584">
        <v>174</v>
      </c>
      <c r="M86" s="584">
        <v>3</v>
      </c>
      <c r="N86" s="584">
        <v>0</v>
      </c>
      <c r="O86" s="584">
        <v>0</v>
      </c>
      <c r="P86" s="584">
        <v>0</v>
      </c>
      <c r="Q86" s="584">
        <v>40</v>
      </c>
      <c r="R86" s="477">
        <f t="shared" si="29"/>
        <v>217</v>
      </c>
      <c r="S86" s="461">
        <f t="shared" si="31"/>
        <v>34.686346863468636</v>
      </c>
      <c r="T86" s="533">
        <f t="shared" si="32"/>
        <v>0</v>
      </c>
    </row>
    <row r="87" spans="1:20" s="534" customFormat="1" ht="23.25" customHeight="1">
      <c r="A87" s="439" t="s">
        <v>522</v>
      </c>
      <c r="B87" s="440" t="s">
        <v>523</v>
      </c>
      <c r="C87" s="583">
        <v>257</v>
      </c>
      <c r="D87" s="583">
        <v>160</v>
      </c>
      <c r="E87" s="583">
        <v>97</v>
      </c>
      <c r="F87" s="583">
        <v>5</v>
      </c>
      <c r="G87" s="583">
        <v>0</v>
      </c>
      <c r="H87" s="583">
        <v>252</v>
      </c>
      <c r="I87" s="583">
        <v>126</v>
      </c>
      <c r="J87" s="583">
        <v>68</v>
      </c>
      <c r="K87" s="583">
        <v>1</v>
      </c>
      <c r="L87" s="583">
        <v>57</v>
      </c>
      <c r="M87" s="583">
        <v>0</v>
      </c>
      <c r="N87" s="583">
        <v>0</v>
      </c>
      <c r="O87" s="583">
        <v>0</v>
      </c>
      <c r="P87" s="583">
        <v>0</v>
      </c>
      <c r="Q87" s="583">
        <v>126</v>
      </c>
      <c r="R87" s="477">
        <f t="shared" si="29"/>
        <v>183</v>
      </c>
      <c r="S87" s="461">
        <f t="shared" si="31"/>
        <v>54.761904761904766</v>
      </c>
      <c r="T87" s="533">
        <f t="shared" si="32"/>
        <v>0</v>
      </c>
    </row>
    <row r="88" spans="1:20" s="534" customFormat="1" ht="23.25" customHeight="1">
      <c r="A88" s="439" t="s">
        <v>524</v>
      </c>
      <c r="B88" s="440" t="s">
        <v>525</v>
      </c>
      <c r="C88" s="583">
        <v>255</v>
      </c>
      <c r="D88" s="583">
        <v>171</v>
      </c>
      <c r="E88" s="583">
        <v>84</v>
      </c>
      <c r="F88" s="583">
        <v>3</v>
      </c>
      <c r="G88" s="583">
        <v>0</v>
      </c>
      <c r="H88" s="583">
        <v>252</v>
      </c>
      <c r="I88" s="583">
        <v>165</v>
      </c>
      <c r="J88" s="583">
        <v>84</v>
      </c>
      <c r="K88" s="583">
        <v>4</v>
      </c>
      <c r="L88" s="583">
        <v>77</v>
      </c>
      <c r="M88" s="583">
        <v>0</v>
      </c>
      <c r="N88" s="583">
        <v>0</v>
      </c>
      <c r="O88" s="583">
        <v>0</v>
      </c>
      <c r="P88" s="583">
        <v>0</v>
      </c>
      <c r="Q88" s="583">
        <v>87</v>
      </c>
      <c r="R88" s="477">
        <f t="shared" si="29"/>
        <v>164</v>
      </c>
      <c r="S88" s="461">
        <f t="shared" si="31"/>
        <v>53.333333333333336</v>
      </c>
      <c r="T88" s="533">
        <f t="shared" si="32"/>
        <v>0</v>
      </c>
    </row>
    <row r="89" spans="1:20" s="446" customFormat="1" ht="23.25" customHeight="1">
      <c r="A89" s="443">
        <v>11</v>
      </c>
      <c r="B89" s="442" t="s">
        <v>526</v>
      </c>
      <c r="C89" s="480">
        <f>C90+C91</f>
        <v>166</v>
      </c>
      <c r="D89" s="480">
        <f aca="true" t="shared" si="34" ref="D89:Q89">D90+D91</f>
        <v>50</v>
      </c>
      <c r="E89" s="480">
        <f t="shared" si="34"/>
        <v>116</v>
      </c>
      <c r="F89" s="480">
        <f t="shared" si="34"/>
        <v>4</v>
      </c>
      <c r="G89" s="480">
        <f t="shared" si="34"/>
        <v>0</v>
      </c>
      <c r="H89" s="480">
        <f t="shared" si="34"/>
        <v>162</v>
      </c>
      <c r="I89" s="480">
        <f t="shared" si="34"/>
        <v>123</v>
      </c>
      <c r="J89" s="480">
        <f t="shared" si="34"/>
        <v>101</v>
      </c>
      <c r="K89" s="480">
        <f t="shared" si="34"/>
        <v>0</v>
      </c>
      <c r="L89" s="480">
        <f t="shared" si="34"/>
        <v>19</v>
      </c>
      <c r="M89" s="480">
        <f t="shared" si="34"/>
        <v>0</v>
      </c>
      <c r="N89" s="480">
        <f t="shared" si="34"/>
        <v>0</v>
      </c>
      <c r="O89" s="480">
        <f t="shared" si="34"/>
        <v>0</v>
      </c>
      <c r="P89" s="480">
        <f t="shared" si="34"/>
        <v>3</v>
      </c>
      <c r="Q89" s="480">
        <f t="shared" si="34"/>
        <v>39</v>
      </c>
      <c r="R89" s="476">
        <f t="shared" si="29"/>
        <v>61</v>
      </c>
      <c r="S89" s="460">
        <f t="shared" si="31"/>
        <v>82.11382113821138</v>
      </c>
      <c r="T89" s="447">
        <f t="shared" si="32"/>
        <v>0</v>
      </c>
    </row>
    <row r="90" spans="1:20" s="534" customFormat="1" ht="23.25" customHeight="1">
      <c r="A90" s="439" t="s">
        <v>527</v>
      </c>
      <c r="B90" s="547" t="s">
        <v>528</v>
      </c>
      <c r="C90" s="585">
        <v>75</v>
      </c>
      <c r="D90" s="585">
        <v>22</v>
      </c>
      <c r="E90" s="586">
        <v>53</v>
      </c>
      <c r="F90" s="586">
        <v>4</v>
      </c>
      <c r="G90" s="586"/>
      <c r="H90" s="585">
        <v>71</v>
      </c>
      <c r="I90" s="585">
        <v>56</v>
      </c>
      <c r="J90" s="586">
        <v>47</v>
      </c>
      <c r="K90" s="586"/>
      <c r="L90" s="585">
        <v>8</v>
      </c>
      <c r="M90" s="586"/>
      <c r="N90" s="586"/>
      <c r="O90" s="586"/>
      <c r="P90" s="587">
        <v>1</v>
      </c>
      <c r="Q90" s="588">
        <v>15</v>
      </c>
      <c r="R90" s="477">
        <f t="shared" si="29"/>
        <v>24</v>
      </c>
      <c r="S90" s="461">
        <f t="shared" si="31"/>
        <v>83.92857142857143</v>
      </c>
      <c r="T90" s="533">
        <f t="shared" si="32"/>
        <v>0</v>
      </c>
    </row>
    <row r="91" spans="1:20" s="534" customFormat="1" ht="23.25" customHeight="1">
      <c r="A91" s="439" t="s">
        <v>529</v>
      </c>
      <c r="B91" s="547" t="s">
        <v>530</v>
      </c>
      <c r="C91" s="585">
        <v>91</v>
      </c>
      <c r="D91" s="585">
        <v>28</v>
      </c>
      <c r="E91" s="586">
        <v>63</v>
      </c>
      <c r="F91" s="586"/>
      <c r="G91" s="586"/>
      <c r="H91" s="586">
        <v>91</v>
      </c>
      <c r="I91" s="586">
        <v>67</v>
      </c>
      <c r="J91" s="586">
        <v>54</v>
      </c>
      <c r="K91" s="586"/>
      <c r="L91" s="586">
        <v>11</v>
      </c>
      <c r="M91" s="586"/>
      <c r="N91" s="586"/>
      <c r="O91" s="586"/>
      <c r="P91" s="587">
        <v>2</v>
      </c>
      <c r="Q91" s="588">
        <v>24</v>
      </c>
      <c r="R91" s="477">
        <f t="shared" si="29"/>
        <v>37</v>
      </c>
      <c r="S91" s="461">
        <f t="shared" si="31"/>
        <v>80.59701492537313</v>
      </c>
      <c r="T91" s="533">
        <f t="shared" si="32"/>
        <v>0</v>
      </c>
    </row>
    <row r="92" spans="1:20" s="446" customFormat="1" ht="23.25" customHeight="1">
      <c r="A92" s="443">
        <v>12</v>
      </c>
      <c r="B92" s="442" t="s">
        <v>531</v>
      </c>
      <c r="C92" s="466">
        <f>C93+C94</f>
        <v>438</v>
      </c>
      <c r="D92" s="467">
        <f aca="true" t="shared" si="35" ref="D92:Q92">D93+D94</f>
        <v>111</v>
      </c>
      <c r="E92" s="467">
        <f t="shared" si="35"/>
        <v>327</v>
      </c>
      <c r="F92" s="467">
        <f t="shared" si="35"/>
        <v>0</v>
      </c>
      <c r="G92" s="467">
        <f t="shared" si="35"/>
        <v>0</v>
      </c>
      <c r="H92" s="466">
        <f t="shared" si="35"/>
        <v>438</v>
      </c>
      <c r="I92" s="466">
        <f t="shared" si="35"/>
        <v>337</v>
      </c>
      <c r="J92" s="467">
        <f t="shared" si="35"/>
        <v>267</v>
      </c>
      <c r="K92" s="467">
        <f t="shared" si="35"/>
        <v>9</v>
      </c>
      <c r="L92" s="467">
        <f t="shared" si="35"/>
        <v>60</v>
      </c>
      <c r="M92" s="467">
        <f t="shared" si="35"/>
        <v>1</v>
      </c>
      <c r="N92" s="467">
        <f t="shared" si="35"/>
        <v>0</v>
      </c>
      <c r="O92" s="467">
        <f t="shared" si="35"/>
        <v>0</v>
      </c>
      <c r="P92" s="467">
        <f t="shared" si="35"/>
        <v>0</v>
      </c>
      <c r="Q92" s="466">
        <f t="shared" si="35"/>
        <v>101</v>
      </c>
      <c r="R92" s="476">
        <f t="shared" si="29"/>
        <v>162</v>
      </c>
      <c r="S92" s="460">
        <f t="shared" si="31"/>
        <v>81.89910979228486</v>
      </c>
      <c r="T92" s="447">
        <f t="shared" si="32"/>
        <v>0</v>
      </c>
    </row>
    <row r="93" spans="1:20" s="534" customFormat="1" ht="23.25" customHeight="1">
      <c r="A93" s="439">
        <v>12.1</v>
      </c>
      <c r="B93" s="547" t="s">
        <v>555</v>
      </c>
      <c r="C93" s="589">
        <f>D93+E93</f>
        <v>227</v>
      </c>
      <c r="D93" s="590">
        <v>39</v>
      </c>
      <c r="E93" s="590">
        <v>188</v>
      </c>
      <c r="F93" s="590">
        <v>0</v>
      </c>
      <c r="G93" s="590">
        <v>0</v>
      </c>
      <c r="H93" s="590">
        <f>C93-F93-G93</f>
        <v>227</v>
      </c>
      <c r="I93" s="590">
        <f>H93-Q93</f>
        <v>180</v>
      </c>
      <c r="J93" s="590">
        <v>157</v>
      </c>
      <c r="K93" s="590">
        <v>3</v>
      </c>
      <c r="L93" s="590">
        <v>20</v>
      </c>
      <c r="M93" s="590"/>
      <c r="N93" s="590"/>
      <c r="O93" s="590"/>
      <c r="P93" s="590"/>
      <c r="Q93" s="590">
        <v>47</v>
      </c>
      <c r="R93" s="477">
        <f t="shared" si="29"/>
        <v>67</v>
      </c>
      <c r="S93" s="461">
        <f t="shared" si="31"/>
        <v>88.88888888888889</v>
      </c>
      <c r="T93" s="533">
        <f t="shared" si="32"/>
        <v>0</v>
      </c>
    </row>
    <row r="94" spans="1:20" s="534" customFormat="1" ht="23.25" customHeight="1">
      <c r="A94" s="439">
        <v>12.2</v>
      </c>
      <c r="B94" s="547" t="s">
        <v>532</v>
      </c>
      <c r="C94" s="589">
        <f>D94+E94</f>
        <v>211</v>
      </c>
      <c r="D94" s="590">
        <v>72</v>
      </c>
      <c r="E94" s="590">
        <v>139</v>
      </c>
      <c r="F94" s="590">
        <v>0</v>
      </c>
      <c r="G94" s="590">
        <v>0</v>
      </c>
      <c r="H94" s="590">
        <f>C94-F94-G94</f>
        <v>211</v>
      </c>
      <c r="I94" s="590">
        <f>H94-Q94</f>
        <v>157</v>
      </c>
      <c r="J94" s="590">
        <v>110</v>
      </c>
      <c r="K94" s="590">
        <v>6</v>
      </c>
      <c r="L94" s="590">
        <v>40</v>
      </c>
      <c r="M94" s="590">
        <v>1</v>
      </c>
      <c r="N94" s="590"/>
      <c r="O94" s="590"/>
      <c r="P94" s="590"/>
      <c r="Q94" s="590">
        <v>54</v>
      </c>
      <c r="R94" s="477">
        <f t="shared" si="29"/>
        <v>95</v>
      </c>
      <c r="S94" s="461">
        <f t="shared" si="31"/>
        <v>73.88535031847134</v>
      </c>
      <c r="T94" s="533">
        <f t="shared" si="32"/>
        <v>0</v>
      </c>
    </row>
    <row r="95" spans="1:20" s="446" customFormat="1" ht="23.25" customHeight="1">
      <c r="A95" s="441">
        <v>13</v>
      </c>
      <c r="B95" s="442" t="s">
        <v>533</v>
      </c>
      <c r="C95" s="463">
        <f>SUM(C96:C106)</f>
        <v>3560</v>
      </c>
      <c r="D95" s="464">
        <f aca="true" t="shared" si="36" ref="D95:Q95">SUM(D96:D106)</f>
        <v>2261</v>
      </c>
      <c r="E95" s="464">
        <f t="shared" si="36"/>
        <v>1299</v>
      </c>
      <c r="F95" s="464">
        <f t="shared" si="36"/>
        <v>10</v>
      </c>
      <c r="G95" s="464">
        <f t="shared" si="36"/>
        <v>6</v>
      </c>
      <c r="H95" s="463">
        <f t="shared" si="36"/>
        <v>3550</v>
      </c>
      <c r="I95" s="463">
        <f t="shared" si="36"/>
        <v>2610</v>
      </c>
      <c r="J95" s="464">
        <f t="shared" si="36"/>
        <v>1426</v>
      </c>
      <c r="K95" s="464">
        <f t="shared" si="36"/>
        <v>23</v>
      </c>
      <c r="L95" s="464">
        <f t="shared" si="36"/>
        <v>1161</v>
      </c>
      <c r="M95" s="464">
        <f t="shared" si="36"/>
        <v>0</v>
      </c>
      <c r="N95" s="464">
        <f t="shared" si="36"/>
        <v>0</v>
      </c>
      <c r="O95" s="464">
        <f t="shared" si="36"/>
        <v>0</v>
      </c>
      <c r="P95" s="464">
        <f t="shared" si="36"/>
        <v>0</v>
      </c>
      <c r="Q95" s="463">
        <f t="shared" si="36"/>
        <v>940</v>
      </c>
      <c r="R95" s="476">
        <f t="shared" si="29"/>
        <v>2101</v>
      </c>
      <c r="S95" s="460">
        <f t="shared" si="31"/>
        <v>55.51724137931034</v>
      </c>
      <c r="T95" s="447">
        <f t="shared" si="32"/>
        <v>0</v>
      </c>
    </row>
    <row r="96" spans="1:20" s="534" customFormat="1" ht="23.25" customHeight="1">
      <c r="A96" s="439">
        <v>13.1</v>
      </c>
      <c r="B96" s="591" t="s">
        <v>534</v>
      </c>
      <c r="C96" s="571">
        <f>D96+E96</f>
        <v>255</v>
      </c>
      <c r="D96" s="571">
        <v>41</v>
      </c>
      <c r="E96" s="571">
        <v>214</v>
      </c>
      <c r="F96" s="571">
        <v>10</v>
      </c>
      <c r="G96" s="571">
        <v>2</v>
      </c>
      <c r="H96" s="571">
        <f>I96+Q96</f>
        <v>245</v>
      </c>
      <c r="I96" s="571">
        <f>J96+K96+L96+M96+N96+O96+P96</f>
        <v>243</v>
      </c>
      <c r="J96" s="571">
        <v>186</v>
      </c>
      <c r="K96" s="571">
        <v>1</v>
      </c>
      <c r="L96" s="571">
        <v>56</v>
      </c>
      <c r="M96" s="571">
        <v>0</v>
      </c>
      <c r="N96" s="571">
        <v>0</v>
      </c>
      <c r="O96" s="571">
        <v>0</v>
      </c>
      <c r="P96" s="573">
        <v>0</v>
      </c>
      <c r="Q96" s="592">
        <v>2</v>
      </c>
      <c r="R96" s="477">
        <f t="shared" si="29"/>
        <v>58</v>
      </c>
      <c r="S96" s="461">
        <f t="shared" si="31"/>
        <v>76.95473251028807</v>
      </c>
      <c r="T96" s="533">
        <f t="shared" si="32"/>
        <v>0</v>
      </c>
    </row>
    <row r="97" spans="1:20" s="534" customFormat="1" ht="23.25" customHeight="1">
      <c r="A97" s="439">
        <v>13.2</v>
      </c>
      <c r="B97" s="591" t="s">
        <v>535</v>
      </c>
      <c r="C97" s="571">
        <f aca="true" t="shared" si="37" ref="C97:C106">D97+E97</f>
        <v>335</v>
      </c>
      <c r="D97" s="571">
        <v>230</v>
      </c>
      <c r="E97" s="571">
        <v>105</v>
      </c>
      <c r="F97" s="571">
        <v>0</v>
      </c>
      <c r="G97" s="571">
        <v>1</v>
      </c>
      <c r="H97" s="571">
        <f aca="true" t="shared" si="38" ref="H97:H106">I97+Q97</f>
        <v>335</v>
      </c>
      <c r="I97" s="571">
        <f aca="true" t="shared" si="39" ref="I97:I106">J97+K97+L97+M97+N97+O97+P97</f>
        <v>271</v>
      </c>
      <c r="J97" s="571">
        <v>111</v>
      </c>
      <c r="K97" s="571">
        <v>2</v>
      </c>
      <c r="L97" s="571">
        <v>158</v>
      </c>
      <c r="M97" s="571">
        <v>0</v>
      </c>
      <c r="N97" s="571">
        <v>0</v>
      </c>
      <c r="O97" s="571">
        <v>0</v>
      </c>
      <c r="P97" s="573">
        <v>0</v>
      </c>
      <c r="Q97" s="592">
        <v>64</v>
      </c>
      <c r="R97" s="477">
        <f t="shared" si="29"/>
        <v>222</v>
      </c>
      <c r="S97" s="461">
        <f t="shared" si="31"/>
        <v>41.69741697416974</v>
      </c>
      <c r="T97" s="533">
        <f t="shared" si="32"/>
        <v>0</v>
      </c>
    </row>
    <row r="98" spans="1:20" s="534" customFormat="1" ht="23.25" customHeight="1">
      <c r="A98" s="439">
        <v>13.3</v>
      </c>
      <c r="B98" s="591" t="s">
        <v>565</v>
      </c>
      <c r="C98" s="571">
        <f t="shared" si="37"/>
        <v>552</v>
      </c>
      <c r="D98" s="571">
        <v>358</v>
      </c>
      <c r="E98" s="571">
        <v>194</v>
      </c>
      <c r="F98" s="571">
        <v>0</v>
      </c>
      <c r="G98" s="571">
        <v>1</v>
      </c>
      <c r="H98" s="571">
        <f t="shared" si="38"/>
        <v>552</v>
      </c>
      <c r="I98" s="571">
        <f t="shared" si="39"/>
        <v>360</v>
      </c>
      <c r="J98" s="571">
        <v>242</v>
      </c>
      <c r="K98" s="571">
        <v>5</v>
      </c>
      <c r="L98" s="571">
        <v>113</v>
      </c>
      <c r="M98" s="571">
        <v>0</v>
      </c>
      <c r="N98" s="571">
        <v>0</v>
      </c>
      <c r="O98" s="571">
        <v>0</v>
      </c>
      <c r="P98" s="573">
        <v>0</v>
      </c>
      <c r="Q98" s="592">
        <v>192</v>
      </c>
      <c r="R98" s="477">
        <f t="shared" si="29"/>
        <v>305</v>
      </c>
      <c r="S98" s="461">
        <f t="shared" si="31"/>
        <v>68.61111111111111</v>
      </c>
      <c r="T98" s="533">
        <f t="shared" si="32"/>
        <v>0</v>
      </c>
    </row>
    <row r="99" spans="1:20" s="534" customFormat="1" ht="23.25" customHeight="1">
      <c r="A99" s="439">
        <v>13.4</v>
      </c>
      <c r="B99" s="593" t="s">
        <v>566</v>
      </c>
      <c r="C99" s="571">
        <f t="shared" si="37"/>
        <v>481</v>
      </c>
      <c r="D99" s="571">
        <v>319</v>
      </c>
      <c r="E99" s="571">
        <v>162</v>
      </c>
      <c r="F99" s="571">
        <v>0</v>
      </c>
      <c r="G99" s="571">
        <v>0</v>
      </c>
      <c r="H99" s="571">
        <f t="shared" si="38"/>
        <v>481</v>
      </c>
      <c r="I99" s="571">
        <f t="shared" si="39"/>
        <v>351</v>
      </c>
      <c r="J99" s="571">
        <v>189</v>
      </c>
      <c r="K99" s="571">
        <v>1</v>
      </c>
      <c r="L99" s="571">
        <v>161</v>
      </c>
      <c r="M99" s="571">
        <v>0</v>
      </c>
      <c r="N99" s="571">
        <v>0</v>
      </c>
      <c r="O99" s="571">
        <v>0</v>
      </c>
      <c r="P99" s="573">
        <v>0</v>
      </c>
      <c r="Q99" s="592">
        <v>130</v>
      </c>
      <c r="R99" s="477">
        <f t="shared" si="29"/>
        <v>291</v>
      </c>
      <c r="S99" s="461">
        <f t="shared" si="31"/>
        <v>54.131054131054135</v>
      </c>
      <c r="T99" s="533">
        <f t="shared" si="32"/>
        <v>0</v>
      </c>
    </row>
    <row r="100" spans="1:20" s="534" customFormat="1" ht="23.25" customHeight="1">
      <c r="A100" s="439">
        <v>13.5</v>
      </c>
      <c r="B100" s="594" t="s">
        <v>567</v>
      </c>
      <c r="C100" s="571">
        <f t="shared" si="37"/>
        <v>305</v>
      </c>
      <c r="D100" s="571">
        <v>183</v>
      </c>
      <c r="E100" s="571">
        <v>122</v>
      </c>
      <c r="F100" s="571">
        <v>0</v>
      </c>
      <c r="G100" s="571">
        <v>2</v>
      </c>
      <c r="H100" s="571">
        <f t="shared" si="38"/>
        <v>305</v>
      </c>
      <c r="I100" s="571">
        <f t="shared" si="39"/>
        <v>236</v>
      </c>
      <c r="J100" s="571">
        <v>155</v>
      </c>
      <c r="K100" s="571">
        <v>6</v>
      </c>
      <c r="L100" s="571">
        <v>75</v>
      </c>
      <c r="M100" s="571">
        <v>0</v>
      </c>
      <c r="N100" s="571">
        <v>0</v>
      </c>
      <c r="O100" s="571">
        <v>0</v>
      </c>
      <c r="P100" s="573">
        <v>0</v>
      </c>
      <c r="Q100" s="592">
        <v>69</v>
      </c>
      <c r="R100" s="477">
        <f t="shared" si="29"/>
        <v>144</v>
      </c>
      <c r="S100" s="461">
        <f t="shared" si="31"/>
        <v>68.22033898305084</v>
      </c>
      <c r="T100" s="533">
        <f t="shared" si="32"/>
        <v>0</v>
      </c>
    </row>
    <row r="101" spans="1:20" s="534" customFormat="1" ht="23.25" customHeight="1">
      <c r="A101" s="439">
        <v>13.6</v>
      </c>
      <c r="B101" s="594" t="s">
        <v>568</v>
      </c>
      <c r="C101" s="571">
        <f t="shared" si="37"/>
        <v>375</v>
      </c>
      <c r="D101" s="571">
        <v>246</v>
      </c>
      <c r="E101" s="571">
        <v>129</v>
      </c>
      <c r="F101" s="571">
        <v>0</v>
      </c>
      <c r="G101" s="571">
        <v>0</v>
      </c>
      <c r="H101" s="571">
        <f t="shared" si="38"/>
        <v>375</v>
      </c>
      <c r="I101" s="571">
        <f t="shared" si="39"/>
        <v>256</v>
      </c>
      <c r="J101" s="571">
        <v>132</v>
      </c>
      <c r="K101" s="571">
        <v>7</v>
      </c>
      <c r="L101" s="571">
        <v>117</v>
      </c>
      <c r="M101" s="571">
        <v>0</v>
      </c>
      <c r="N101" s="571">
        <v>0</v>
      </c>
      <c r="O101" s="571">
        <v>0</v>
      </c>
      <c r="P101" s="573">
        <v>0</v>
      </c>
      <c r="Q101" s="592">
        <v>119</v>
      </c>
      <c r="R101" s="477">
        <f t="shared" si="29"/>
        <v>236</v>
      </c>
      <c r="S101" s="461">
        <f t="shared" si="31"/>
        <v>54.296875</v>
      </c>
      <c r="T101" s="533">
        <f t="shared" si="32"/>
        <v>0</v>
      </c>
    </row>
    <row r="102" spans="1:20" s="534" customFormat="1" ht="23.25" customHeight="1">
      <c r="A102" s="439">
        <v>13.7</v>
      </c>
      <c r="B102" s="594" t="s">
        <v>569</v>
      </c>
      <c r="C102" s="571">
        <f t="shared" si="37"/>
        <v>360</v>
      </c>
      <c r="D102" s="571">
        <v>225</v>
      </c>
      <c r="E102" s="571">
        <v>135</v>
      </c>
      <c r="F102" s="571">
        <v>0</v>
      </c>
      <c r="G102" s="571">
        <v>0</v>
      </c>
      <c r="H102" s="571">
        <f t="shared" si="38"/>
        <v>360</v>
      </c>
      <c r="I102" s="571">
        <f>J102+K102+L102+M102+N102+O102+P102</f>
        <v>255</v>
      </c>
      <c r="J102" s="571">
        <v>159</v>
      </c>
      <c r="K102" s="571">
        <v>0</v>
      </c>
      <c r="L102" s="571">
        <v>96</v>
      </c>
      <c r="M102" s="571">
        <v>0</v>
      </c>
      <c r="N102" s="571">
        <v>0</v>
      </c>
      <c r="O102" s="571">
        <v>0</v>
      </c>
      <c r="P102" s="573">
        <v>0</v>
      </c>
      <c r="Q102" s="592">
        <v>105</v>
      </c>
      <c r="R102" s="477">
        <f t="shared" si="29"/>
        <v>201</v>
      </c>
      <c r="S102" s="461">
        <f t="shared" si="31"/>
        <v>62.35294117647059</v>
      </c>
      <c r="T102" s="533">
        <f t="shared" si="32"/>
        <v>0</v>
      </c>
    </row>
    <row r="103" spans="1:20" s="534" customFormat="1" ht="23.25" customHeight="1">
      <c r="A103" s="439">
        <v>13.8</v>
      </c>
      <c r="B103" s="591" t="s">
        <v>570</v>
      </c>
      <c r="C103" s="571">
        <f t="shared" si="37"/>
        <v>391</v>
      </c>
      <c r="D103" s="571">
        <v>225</v>
      </c>
      <c r="E103" s="571">
        <v>166</v>
      </c>
      <c r="F103" s="571">
        <v>0</v>
      </c>
      <c r="G103" s="571">
        <v>0</v>
      </c>
      <c r="H103" s="571">
        <f t="shared" si="38"/>
        <v>391</v>
      </c>
      <c r="I103" s="571">
        <f t="shared" si="39"/>
        <v>312</v>
      </c>
      <c r="J103" s="571">
        <v>218</v>
      </c>
      <c r="K103" s="571">
        <v>0</v>
      </c>
      <c r="L103" s="571">
        <v>94</v>
      </c>
      <c r="M103" s="571">
        <v>0</v>
      </c>
      <c r="N103" s="571">
        <v>0</v>
      </c>
      <c r="O103" s="571">
        <v>0</v>
      </c>
      <c r="P103" s="573">
        <v>0</v>
      </c>
      <c r="Q103" s="592">
        <v>79</v>
      </c>
      <c r="R103" s="477">
        <f t="shared" si="29"/>
        <v>173</v>
      </c>
      <c r="S103" s="461">
        <f t="shared" si="31"/>
        <v>69.87179487179486</v>
      </c>
      <c r="T103" s="533">
        <f t="shared" si="32"/>
        <v>0</v>
      </c>
    </row>
    <row r="104" spans="1:20" s="534" customFormat="1" ht="23.25" customHeight="1">
      <c r="A104" s="439">
        <v>13.9</v>
      </c>
      <c r="B104" s="591" t="s">
        <v>571</v>
      </c>
      <c r="C104" s="571">
        <f t="shared" si="37"/>
        <v>172</v>
      </c>
      <c r="D104" s="571">
        <f>106+41</f>
        <v>147</v>
      </c>
      <c r="E104" s="571">
        <v>25</v>
      </c>
      <c r="F104" s="571">
        <v>0</v>
      </c>
      <c r="G104" s="571">
        <v>0</v>
      </c>
      <c r="H104" s="571">
        <f t="shared" si="38"/>
        <v>172</v>
      </c>
      <c r="I104" s="571">
        <f t="shared" si="39"/>
        <v>110</v>
      </c>
      <c r="J104" s="571">
        <v>18</v>
      </c>
      <c r="K104" s="571">
        <v>0</v>
      </c>
      <c r="L104" s="571">
        <v>92</v>
      </c>
      <c r="M104" s="571">
        <v>0</v>
      </c>
      <c r="N104" s="571">
        <v>0</v>
      </c>
      <c r="O104" s="571">
        <v>0</v>
      </c>
      <c r="P104" s="573">
        <v>0</v>
      </c>
      <c r="Q104" s="592">
        <v>62</v>
      </c>
      <c r="R104" s="477">
        <f t="shared" si="29"/>
        <v>154</v>
      </c>
      <c r="S104" s="461">
        <f t="shared" si="31"/>
        <v>16.363636363636363</v>
      </c>
      <c r="T104" s="533">
        <f t="shared" si="32"/>
        <v>0</v>
      </c>
    </row>
    <row r="105" spans="1:20" s="534" customFormat="1" ht="23.25" customHeight="1">
      <c r="A105" s="439" t="s">
        <v>572</v>
      </c>
      <c r="B105" s="591" t="s">
        <v>573</v>
      </c>
      <c r="C105" s="571">
        <f t="shared" si="37"/>
        <v>219</v>
      </c>
      <c r="D105" s="571">
        <v>198</v>
      </c>
      <c r="E105" s="571">
        <v>21</v>
      </c>
      <c r="F105" s="571">
        <v>0</v>
      </c>
      <c r="G105" s="571">
        <v>0</v>
      </c>
      <c r="H105" s="571">
        <f t="shared" si="38"/>
        <v>219</v>
      </c>
      <c r="I105" s="571">
        <f t="shared" si="39"/>
        <v>137</v>
      </c>
      <c r="J105" s="571">
        <v>7</v>
      </c>
      <c r="K105" s="571">
        <v>0</v>
      </c>
      <c r="L105" s="571">
        <v>130</v>
      </c>
      <c r="M105" s="571">
        <v>0</v>
      </c>
      <c r="N105" s="571">
        <v>0</v>
      </c>
      <c r="O105" s="571">
        <v>0</v>
      </c>
      <c r="P105" s="573">
        <v>0</v>
      </c>
      <c r="Q105" s="592">
        <v>82</v>
      </c>
      <c r="R105" s="477">
        <f t="shared" si="29"/>
        <v>212</v>
      </c>
      <c r="S105" s="461">
        <f t="shared" si="31"/>
        <v>5.109489051094891</v>
      </c>
      <c r="T105" s="533">
        <f t="shared" si="32"/>
        <v>0</v>
      </c>
    </row>
    <row r="106" spans="1:20" s="534" customFormat="1" ht="23.25" customHeight="1">
      <c r="A106" s="439" t="s">
        <v>574</v>
      </c>
      <c r="B106" s="591" t="s">
        <v>466</v>
      </c>
      <c r="C106" s="571">
        <f t="shared" si="37"/>
        <v>115</v>
      </c>
      <c r="D106" s="571">
        <v>89</v>
      </c>
      <c r="E106" s="571">
        <v>26</v>
      </c>
      <c r="F106" s="571">
        <v>0</v>
      </c>
      <c r="G106" s="571">
        <v>0</v>
      </c>
      <c r="H106" s="571">
        <f t="shared" si="38"/>
        <v>115</v>
      </c>
      <c r="I106" s="571">
        <f t="shared" si="39"/>
        <v>79</v>
      </c>
      <c r="J106" s="571">
        <v>9</v>
      </c>
      <c r="K106" s="571">
        <v>1</v>
      </c>
      <c r="L106" s="571">
        <v>69</v>
      </c>
      <c r="M106" s="571">
        <v>0</v>
      </c>
      <c r="N106" s="571">
        <v>0</v>
      </c>
      <c r="O106" s="571">
        <v>0</v>
      </c>
      <c r="P106" s="573">
        <v>0</v>
      </c>
      <c r="Q106" s="592">
        <v>36</v>
      </c>
      <c r="R106" s="477">
        <f t="shared" si="29"/>
        <v>105</v>
      </c>
      <c r="S106" s="461">
        <f t="shared" si="31"/>
        <v>12.658227848101266</v>
      </c>
      <c r="T106" s="533">
        <f t="shared" si="32"/>
        <v>0</v>
      </c>
    </row>
    <row r="107" spans="1:20" s="446" customFormat="1" ht="23.25" customHeight="1">
      <c r="A107" s="443">
        <v>14</v>
      </c>
      <c r="B107" s="442" t="s">
        <v>536</v>
      </c>
      <c r="C107" s="466">
        <f>C108+C109</f>
        <v>465</v>
      </c>
      <c r="D107" s="467">
        <f aca="true" t="shared" si="40" ref="D107:Q107">D108+D109</f>
        <v>130</v>
      </c>
      <c r="E107" s="467">
        <f t="shared" si="40"/>
        <v>335</v>
      </c>
      <c r="F107" s="467">
        <f t="shared" si="40"/>
        <v>6</v>
      </c>
      <c r="G107" s="467">
        <f t="shared" si="40"/>
        <v>0</v>
      </c>
      <c r="H107" s="466">
        <f t="shared" si="40"/>
        <v>459</v>
      </c>
      <c r="I107" s="466">
        <f t="shared" si="40"/>
        <v>323</v>
      </c>
      <c r="J107" s="467">
        <f t="shared" si="40"/>
        <v>261</v>
      </c>
      <c r="K107" s="467">
        <f t="shared" si="40"/>
        <v>9</v>
      </c>
      <c r="L107" s="467">
        <f t="shared" si="40"/>
        <v>53</v>
      </c>
      <c r="M107" s="467">
        <f t="shared" si="40"/>
        <v>0</v>
      </c>
      <c r="N107" s="467">
        <f t="shared" si="40"/>
        <v>0</v>
      </c>
      <c r="O107" s="467">
        <f t="shared" si="40"/>
        <v>0</v>
      </c>
      <c r="P107" s="467">
        <f t="shared" si="40"/>
        <v>0</v>
      </c>
      <c r="Q107" s="466">
        <f t="shared" si="40"/>
        <v>136</v>
      </c>
      <c r="R107" s="476">
        <f t="shared" si="29"/>
        <v>189</v>
      </c>
      <c r="S107" s="460">
        <f t="shared" si="31"/>
        <v>83.59133126934985</v>
      </c>
      <c r="T107" s="447">
        <f t="shared" si="32"/>
        <v>0</v>
      </c>
    </row>
    <row r="108" spans="1:20" s="534" customFormat="1" ht="23.25" customHeight="1">
      <c r="A108" s="439" t="s">
        <v>537</v>
      </c>
      <c r="B108" s="547" t="s">
        <v>538</v>
      </c>
      <c r="C108" s="589">
        <f>D108+E108</f>
        <v>204</v>
      </c>
      <c r="D108" s="595" t="s">
        <v>590</v>
      </c>
      <c r="E108" s="595" t="s">
        <v>591</v>
      </c>
      <c r="F108" s="595" t="s">
        <v>58</v>
      </c>
      <c r="G108" s="595" t="s">
        <v>435</v>
      </c>
      <c r="H108" s="596">
        <f>I108+Q108</f>
        <v>198</v>
      </c>
      <c r="I108" s="596">
        <f>P108+O108+N108+M108+L108+K108+J108</f>
        <v>147</v>
      </c>
      <c r="J108" s="595" t="s">
        <v>592</v>
      </c>
      <c r="K108" s="595" t="s">
        <v>56</v>
      </c>
      <c r="L108" s="595" t="s">
        <v>593</v>
      </c>
      <c r="M108" s="595" t="s">
        <v>435</v>
      </c>
      <c r="N108" s="595" t="s">
        <v>435</v>
      </c>
      <c r="O108" s="597" t="s">
        <v>435</v>
      </c>
      <c r="P108" s="598" t="s">
        <v>435</v>
      </c>
      <c r="Q108" s="599">
        <v>51</v>
      </c>
      <c r="R108" s="477">
        <f t="shared" si="29"/>
        <v>74</v>
      </c>
      <c r="S108" s="461">
        <f t="shared" si="31"/>
        <v>84.35374149659864</v>
      </c>
      <c r="T108" s="533">
        <f t="shared" si="32"/>
        <v>0</v>
      </c>
    </row>
    <row r="109" spans="1:20" s="534" customFormat="1" ht="23.25" customHeight="1">
      <c r="A109" s="439" t="s">
        <v>539</v>
      </c>
      <c r="B109" s="547" t="s">
        <v>540</v>
      </c>
      <c r="C109" s="589">
        <f>D109+E109</f>
        <v>261</v>
      </c>
      <c r="D109" s="595" t="s">
        <v>594</v>
      </c>
      <c r="E109" s="595" t="s">
        <v>595</v>
      </c>
      <c r="F109" s="595" t="s">
        <v>435</v>
      </c>
      <c r="G109" s="595" t="s">
        <v>435</v>
      </c>
      <c r="H109" s="596">
        <f>I109+Q109</f>
        <v>261</v>
      </c>
      <c r="I109" s="596">
        <f>P109+O109+N109+M109+L109+K109+J109</f>
        <v>176</v>
      </c>
      <c r="J109" s="595" t="s">
        <v>596</v>
      </c>
      <c r="K109" s="595" t="s">
        <v>57</v>
      </c>
      <c r="L109" s="595" t="s">
        <v>597</v>
      </c>
      <c r="M109" s="595" t="s">
        <v>435</v>
      </c>
      <c r="N109" s="595" t="s">
        <v>435</v>
      </c>
      <c r="O109" s="597" t="s">
        <v>435</v>
      </c>
      <c r="P109" s="598" t="s">
        <v>435</v>
      </c>
      <c r="Q109" s="599">
        <v>85</v>
      </c>
      <c r="R109" s="477">
        <f t="shared" si="29"/>
        <v>115</v>
      </c>
      <c r="S109" s="461">
        <f t="shared" si="31"/>
        <v>82.95454545454545</v>
      </c>
      <c r="T109" s="533">
        <f t="shared" si="32"/>
        <v>0</v>
      </c>
    </row>
    <row r="110" spans="1:20" s="446" customFormat="1" ht="23.25" customHeight="1">
      <c r="A110" s="443">
        <v>15</v>
      </c>
      <c r="B110" s="442" t="s">
        <v>541</v>
      </c>
      <c r="C110" s="453">
        <f>SUM(C111:C116)</f>
        <v>385</v>
      </c>
      <c r="D110" s="453">
        <f aca="true" t="shared" si="41" ref="D110:Q110">SUM(D111:D116)</f>
        <v>160</v>
      </c>
      <c r="E110" s="453">
        <f t="shared" si="41"/>
        <v>225</v>
      </c>
      <c r="F110" s="453">
        <f t="shared" si="41"/>
        <v>1</v>
      </c>
      <c r="G110" s="453">
        <f t="shared" si="41"/>
        <v>0</v>
      </c>
      <c r="H110" s="453">
        <f t="shared" si="41"/>
        <v>384</v>
      </c>
      <c r="I110" s="453">
        <f t="shared" si="41"/>
        <v>297</v>
      </c>
      <c r="J110" s="453">
        <f t="shared" si="41"/>
        <v>205</v>
      </c>
      <c r="K110" s="453">
        <f t="shared" si="41"/>
        <v>13</v>
      </c>
      <c r="L110" s="453">
        <f t="shared" si="41"/>
        <v>76</v>
      </c>
      <c r="M110" s="453">
        <f t="shared" si="41"/>
        <v>2</v>
      </c>
      <c r="N110" s="453">
        <f t="shared" si="41"/>
        <v>0</v>
      </c>
      <c r="O110" s="453">
        <f t="shared" si="41"/>
        <v>0</v>
      </c>
      <c r="P110" s="453">
        <f t="shared" si="41"/>
        <v>1</v>
      </c>
      <c r="Q110" s="453">
        <f t="shared" si="41"/>
        <v>87</v>
      </c>
      <c r="R110" s="476">
        <f t="shared" si="29"/>
        <v>166</v>
      </c>
      <c r="S110" s="460">
        <f t="shared" si="31"/>
        <v>73.4006734006734</v>
      </c>
      <c r="T110" s="447">
        <f t="shared" si="32"/>
        <v>0</v>
      </c>
    </row>
    <row r="111" spans="1:20" s="534" customFormat="1" ht="23.25" customHeight="1">
      <c r="A111" s="439" t="s">
        <v>580</v>
      </c>
      <c r="B111" s="600" t="s">
        <v>542</v>
      </c>
      <c r="C111" s="532">
        <f aca="true" t="shared" si="42" ref="C111:C116">D111+E111</f>
        <v>60</v>
      </c>
      <c r="D111" s="601">
        <v>16</v>
      </c>
      <c r="E111" s="601">
        <v>44</v>
      </c>
      <c r="F111" s="601">
        <v>0</v>
      </c>
      <c r="G111" s="601">
        <v>0</v>
      </c>
      <c r="H111" s="602">
        <v>60</v>
      </c>
      <c r="I111" s="602">
        <v>56</v>
      </c>
      <c r="J111" s="601">
        <v>42</v>
      </c>
      <c r="K111" s="601">
        <v>0</v>
      </c>
      <c r="L111" s="602">
        <v>14</v>
      </c>
      <c r="M111" s="601">
        <v>0</v>
      </c>
      <c r="N111" s="601">
        <v>0</v>
      </c>
      <c r="O111" s="601">
        <v>0</v>
      </c>
      <c r="P111" s="603">
        <v>0</v>
      </c>
      <c r="Q111" s="604">
        <v>4</v>
      </c>
      <c r="R111" s="477">
        <f t="shared" si="29"/>
        <v>18</v>
      </c>
      <c r="S111" s="461">
        <f t="shared" si="31"/>
        <v>75</v>
      </c>
      <c r="T111" s="533">
        <f t="shared" si="32"/>
        <v>0</v>
      </c>
    </row>
    <row r="112" spans="1:20" s="534" customFormat="1" ht="23.25" customHeight="1">
      <c r="A112" s="439" t="s">
        <v>579</v>
      </c>
      <c r="B112" s="600" t="s">
        <v>575</v>
      </c>
      <c r="C112" s="532">
        <f t="shared" si="42"/>
        <v>119</v>
      </c>
      <c r="D112" s="601">
        <v>77</v>
      </c>
      <c r="E112" s="601">
        <v>42</v>
      </c>
      <c r="F112" s="601">
        <v>0</v>
      </c>
      <c r="G112" s="601">
        <v>0</v>
      </c>
      <c r="H112" s="602">
        <v>119</v>
      </c>
      <c r="I112" s="602">
        <v>85</v>
      </c>
      <c r="J112" s="601">
        <v>45</v>
      </c>
      <c r="K112" s="601">
        <v>11</v>
      </c>
      <c r="L112" s="602">
        <v>29</v>
      </c>
      <c r="M112" s="601">
        <v>0</v>
      </c>
      <c r="N112" s="601">
        <v>0</v>
      </c>
      <c r="O112" s="601">
        <v>0</v>
      </c>
      <c r="P112" s="603">
        <v>0</v>
      </c>
      <c r="Q112" s="604">
        <v>34</v>
      </c>
      <c r="R112" s="477">
        <f t="shared" si="29"/>
        <v>63</v>
      </c>
      <c r="S112" s="461">
        <f t="shared" si="31"/>
        <v>65.88235294117646</v>
      </c>
      <c r="T112" s="533">
        <f t="shared" si="32"/>
        <v>0</v>
      </c>
    </row>
    <row r="113" spans="1:20" s="605" customFormat="1" ht="23.25" customHeight="1">
      <c r="A113" s="439" t="s">
        <v>581</v>
      </c>
      <c r="B113" s="600" t="s">
        <v>559</v>
      </c>
      <c r="C113" s="532">
        <f t="shared" si="42"/>
        <v>28</v>
      </c>
      <c r="D113" s="601">
        <v>3</v>
      </c>
      <c r="E113" s="601">
        <v>25</v>
      </c>
      <c r="F113" s="601">
        <v>1</v>
      </c>
      <c r="G113" s="601">
        <v>0</v>
      </c>
      <c r="H113" s="602">
        <v>27</v>
      </c>
      <c r="I113" s="602">
        <v>27</v>
      </c>
      <c r="J113" s="601">
        <v>27</v>
      </c>
      <c r="K113" s="601">
        <v>0</v>
      </c>
      <c r="L113" s="602">
        <v>0</v>
      </c>
      <c r="M113" s="601">
        <v>0</v>
      </c>
      <c r="N113" s="601">
        <v>0</v>
      </c>
      <c r="O113" s="601">
        <v>0</v>
      </c>
      <c r="P113" s="603">
        <v>0</v>
      </c>
      <c r="Q113" s="604">
        <v>0</v>
      </c>
      <c r="R113" s="477">
        <f t="shared" si="29"/>
        <v>0</v>
      </c>
      <c r="S113" s="461">
        <f t="shared" si="31"/>
        <v>100</v>
      </c>
      <c r="T113" s="533">
        <f t="shared" si="32"/>
        <v>0</v>
      </c>
    </row>
    <row r="114" spans="1:20" s="606" customFormat="1" ht="23.25" customHeight="1">
      <c r="A114" s="439" t="s">
        <v>582</v>
      </c>
      <c r="B114" s="600" t="s">
        <v>578</v>
      </c>
      <c r="C114" s="532">
        <f t="shared" si="42"/>
        <v>53</v>
      </c>
      <c r="D114" s="601">
        <v>24</v>
      </c>
      <c r="E114" s="601">
        <v>29</v>
      </c>
      <c r="F114" s="601">
        <v>0</v>
      </c>
      <c r="G114" s="601">
        <v>0</v>
      </c>
      <c r="H114" s="602">
        <v>53</v>
      </c>
      <c r="I114" s="602">
        <v>31</v>
      </c>
      <c r="J114" s="601">
        <v>8</v>
      </c>
      <c r="K114" s="601">
        <v>0</v>
      </c>
      <c r="L114" s="602">
        <v>20</v>
      </c>
      <c r="M114" s="601">
        <v>2</v>
      </c>
      <c r="N114" s="601">
        <v>0</v>
      </c>
      <c r="O114" s="601">
        <v>0</v>
      </c>
      <c r="P114" s="603">
        <v>1</v>
      </c>
      <c r="Q114" s="604">
        <v>22</v>
      </c>
      <c r="R114" s="477">
        <f t="shared" si="29"/>
        <v>45</v>
      </c>
      <c r="S114" s="461">
        <f t="shared" si="31"/>
        <v>25.806451612903224</v>
      </c>
      <c r="T114" s="533">
        <f t="shared" si="32"/>
        <v>0</v>
      </c>
    </row>
    <row r="115" spans="1:20" s="534" customFormat="1" ht="23.25" customHeight="1">
      <c r="A115" s="439" t="s">
        <v>583</v>
      </c>
      <c r="B115" s="600" t="s">
        <v>576</v>
      </c>
      <c r="C115" s="532">
        <f t="shared" si="42"/>
        <v>97</v>
      </c>
      <c r="D115" s="601">
        <v>38</v>
      </c>
      <c r="E115" s="601">
        <v>59</v>
      </c>
      <c r="F115" s="601">
        <v>0</v>
      </c>
      <c r="G115" s="601">
        <v>0</v>
      </c>
      <c r="H115" s="602">
        <v>97</v>
      </c>
      <c r="I115" s="602">
        <v>70</v>
      </c>
      <c r="J115" s="601">
        <v>56</v>
      </c>
      <c r="K115" s="601">
        <v>1</v>
      </c>
      <c r="L115" s="602">
        <v>13</v>
      </c>
      <c r="M115" s="601">
        <v>0</v>
      </c>
      <c r="N115" s="601">
        <v>0</v>
      </c>
      <c r="O115" s="601">
        <v>0</v>
      </c>
      <c r="P115" s="603">
        <v>0</v>
      </c>
      <c r="Q115" s="604">
        <v>27</v>
      </c>
      <c r="R115" s="477">
        <f t="shared" si="29"/>
        <v>40</v>
      </c>
      <c r="S115" s="461">
        <f t="shared" si="31"/>
        <v>81.42857142857143</v>
      </c>
      <c r="T115" s="533">
        <f t="shared" si="32"/>
        <v>0</v>
      </c>
    </row>
    <row r="116" spans="1:20" s="534" customFormat="1" ht="23.25" customHeight="1">
      <c r="A116" s="439" t="s">
        <v>584</v>
      </c>
      <c r="B116" s="600" t="s">
        <v>577</v>
      </c>
      <c r="C116" s="532">
        <f t="shared" si="42"/>
        <v>28</v>
      </c>
      <c r="D116" s="601">
        <v>2</v>
      </c>
      <c r="E116" s="601">
        <v>26</v>
      </c>
      <c r="F116" s="601">
        <v>0</v>
      </c>
      <c r="G116" s="601">
        <v>0</v>
      </c>
      <c r="H116" s="602">
        <v>28</v>
      </c>
      <c r="I116" s="602">
        <v>28</v>
      </c>
      <c r="J116" s="601">
        <v>27</v>
      </c>
      <c r="K116" s="601">
        <v>1</v>
      </c>
      <c r="L116" s="602">
        <v>0</v>
      </c>
      <c r="M116" s="601">
        <v>0</v>
      </c>
      <c r="N116" s="601">
        <v>0</v>
      </c>
      <c r="O116" s="601">
        <v>0</v>
      </c>
      <c r="P116" s="603">
        <v>0</v>
      </c>
      <c r="Q116" s="604">
        <v>0</v>
      </c>
      <c r="R116" s="477">
        <f t="shared" si="29"/>
        <v>0</v>
      </c>
      <c r="S116" s="461">
        <f t="shared" si="31"/>
        <v>100</v>
      </c>
      <c r="T116" s="533">
        <f t="shared" si="32"/>
        <v>0</v>
      </c>
    </row>
    <row r="117" spans="1:19" ht="18.75">
      <c r="A117" s="392"/>
      <c r="B117" s="946" t="s">
        <v>420</v>
      </c>
      <c r="C117" s="946"/>
      <c r="D117" s="479"/>
      <c r="E117" s="479"/>
      <c r="F117" s="394"/>
      <c r="G117" s="394"/>
      <c r="H117" s="459"/>
      <c r="I117" s="459"/>
      <c r="J117" s="394"/>
      <c r="K117" s="394"/>
      <c r="L117" s="394"/>
      <c r="M117" s="394"/>
      <c r="N117" s="946" t="s">
        <v>585</v>
      </c>
      <c r="O117" s="946"/>
      <c r="P117" s="946"/>
      <c r="Q117" s="946"/>
      <c r="R117" s="946"/>
      <c r="S117" s="946"/>
    </row>
    <row r="118" spans="1:19" ht="25.5" customHeight="1">
      <c r="A118" s="400"/>
      <c r="B118" s="392"/>
      <c r="C118" s="456"/>
      <c r="D118" s="394"/>
      <c r="E118" s="394"/>
      <c r="F118" s="394"/>
      <c r="G118" s="394"/>
      <c r="H118" s="459"/>
      <c r="I118" s="459"/>
      <c r="J118" s="394"/>
      <c r="K118" s="394"/>
      <c r="L118" s="394"/>
      <c r="M118" s="394"/>
      <c r="N118" s="937" t="s">
        <v>586</v>
      </c>
      <c r="O118" s="937"/>
      <c r="P118" s="937"/>
      <c r="Q118" s="937"/>
      <c r="R118" s="937"/>
      <c r="S118" s="937"/>
    </row>
    <row r="119" spans="1:19" ht="15.75" customHeight="1">
      <c r="A119" s="392"/>
      <c r="B119" s="944"/>
      <c r="C119" s="944"/>
      <c r="D119" s="944"/>
      <c r="E119" s="944"/>
      <c r="F119" s="944"/>
      <c r="G119" s="944"/>
      <c r="H119" s="944"/>
      <c r="I119" s="944"/>
      <c r="J119" s="944"/>
      <c r="K119" s="944"/>
      <c r="L119" s="944"/>
      <c r="M119" s="944"/>
      <c r="N119" s="944"/>
      <c r="O119" s="944"/>
      <c r="P119" s="394"/>
      <c r="Q119" s="459"/>
      <c r="R119" s="456"/>
      <c r="S119" s="391"/>
    </row>
    <row r="120" spans="1:19" ht="18.75">
      <c r="A120" s="401"/>
      <c r="B120" s="401"/>
      <c r="C120" s="457"/>
      <c r="D120" s="395"/>
      <c r="E120" s="395"/>
      <c r="F120" s="395"/>
      <c r="G120" s="395"/>
      <c r="H120" s="457"/>
      <c r="I120" s="457"/>
      <c r="J120" s="395"/>
      <c r="K120" s="395"/>
      <c r="L120" s="395"/>
      <c r="M120" s="395"/>
      <c r="N120" s="395"/>
      <c r="O120" s="395"/>
      <c r="P120" s="395"/>
      <c r="Q120" s="456"/>
      <c r="R120" s="456"/>
      <c r="S120" s="391"/>
    </row>
    <row r="121" spans="1:19" ht="18.75">
      <c r="A121" s="392"/>
      <c r="B121" s="392"/>
      <c r="C121" s="456"/>
      <c r="D121" s="391"/>
      <c r="E121" s="391"/>
      <c r="F121" s="391"/>
      <c r="G121" s="391"/>
      <c r="H121" s="456"/>
      <c r="I121" s="456"/>
      <c r="J121" s="391"/>
      <c r="K121" s="391"/>
      <c r="L121" s="391"/>
      <c r="M121" s="391"/>
      <c r="N121" s="391"/>
      <c r="O121" s="391"/>
      <c r="P121" s="391"/>
      <c r="Q121" s="456"/>
      <c r="R121" s="456"/>
      <c r="S121" s="391"/>
    </row>
    <row r="122" spans="1:19" ht="75.75" customHeight="1">
      <c r="A122" s="392"/>
      <c r="B122" s="937" t="s">
        <v>552</v>
      </c>
      <c r="C122" s="937"/>
      <c r="D122" s="393"/>
      <c r="E122" s="393"/>
      <c r="F122" s="391"/>
      <c r="G122" s="391"/>
      <c r="H122" s="456"/>
      <c r="I122" s="456"/>
      <c r="J122" s="391"/>
      <c r="K122" s="391"/>
      <c r="L122" s="391"/>
      <c r="M122" s="391"/>
      <c r="N122" s="937" t="s">
        <v>434</v>
      </c>
      <c r="O122" s="937"/>
      <c r="P122" s="937"/>
      <c r="Q122" s="937"/>
      <c r="R122" s="937"/>
      <c r="S122" s="937"/>
    </row>
    <row r="123" spans="1:19" ht="18.75">
      <c r="A123" s="402"/>
      <c r="B123" s="402"/>
      <c r="C123" s="458"/>
      <c r="D123" s="380"/>
      <c r="E123" s="380"/>
      <c r="F123" s="380"/>
      <c r="G123" s="380"/>
      <c r="H123" s="458"/>
      <c r="I123" s="458"/>
      <c r="J123" s="380"/>
      <c r="K123" s="380"/>
      <c r="L123" s="380"/>
      <c r="M123" s="380"/>
      <c r="N123" s="380"/>
      <c r="O123" s="380"/>
      <c r="P123" s="380"/>
      <c r="Q123" s="458"/>
      <c r="R123" s="458"/>
      <c r="S123" s="380"/>
    </row>
  </sheetData>
  <sheetProtection/>
  <mergeCells count="31">
    <mergeCell ref="A2:D2"/>
    <mergeCell ref="H6:Q6"/>
    <mergeCell ref="A3:D3"/>
    <mergeCell ref="J8:P8"/>
    <mergeCell ref="E1:O1"/>
    <mergeCell ref="E2:O2"/>
    <mergeCell ref="E3:O3"/>
    <mergeCell ref="F6:F9"/>
    <mergeCell ref="G6:G9"/>
    <mergeCell ref="A6:B9"/>
    <mergeCell ref="I7:P7"/>
    <mergeCell ref="D7:E7"/>
    <mergeCell ref="P2:S2"/>
    <mergeCell ref="E8:E9"/>
    <mergeCell ref="P4:S4"/>
    <mergeCell ref="B117:C117"/>
    <mergeCell ref="N117:S117"/>
    <mergeCell ref="S6:S9"/>
    <mergeCell ref="N122:S122"/>
    <mergeCell ref="C7:C9"/>
    <mergeCell ref="D8:D9"/>
    <mergeCell ref="H7:H9"/>
    <mergeCell ref="N118:S118"/>
    <mergeCell ref="C6:E6"/>
    <mergeCell ref="B122:C122"/>
    <mergeCell ref="A10:B10"/>
    <mergeCell ref="I8:I9"/>
    <mergeCell ref="A11:B11"/>
    <mergeCell ref="R6:R9"/>
    <mergeCell ref="B119:O119"/>
    <mergeCell ref="Q7:Q9"/>
  </mergeCells>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indexed="19"/>
  </sheetPr>
  <dimension ref="A1:AJ127"/>
  <sheetViews>
    <sheetView showZeros="0" tabSelected="1" view="pageBreakPreview" zoomScale="90" zoomScaleNormal="85" zoomScaleSheetLayoutView="90" zoomScalePageLayoutView="0" workbookViewId="0" topLeftCell="C1">
      <selection activeCell="U13" sqref="U13"/>
    </sheetView>
  </sheetViews>
  <sheetFormatPr defaultColWidth="9.00390625" defaultRowHeight="15.75"/>
  <cols>
    <col min="1" max="1" width="5.50390625" style="423" customWidth="1"/>
    <col min="2" max="2" width="17.50390625" style="403" customWidth="1"/>
    <col min="3" max="3" width="10.125" style="432" customWidth="1"/>
    <col min="4" max="4" width="9.375" style="407" customWidth="1"/>
    <col min="5" max="6" width="8.875" style="407" customWidth="1"/>
    <col min="7" max="7" width="7.75390625" style="407" customWidth="1"/>
    <col min="8" max="8" width="9.375" style="432" customWidth="1"/>
    <col min="9" max="9" width="10.25390625" style="432" customWidth="1"/>
    <col min="10" max="10" width="8.625" style="407" customWidth="1"/>
    <col min="11" max="11" width="8.50390625" style="407" customWidth="1"/>
    <col min="12" max="12" width="5.875" style="407" customWidth="1"/>
    <col min="13" max="13" width="10.00390625" style="407" customWidth="1"/>
    <col min="14" max="14" width="8.375" style="407" customWidth="1"/>
    <col min="15" max="15" width="7.00390625" style="407" customWidth="1"/>
    <col min="16" max="16" width="6.375" style="407" customWidth="1"/>
    <col min="17" max="17" width="8.625" style="407" customWidth="1"/>
    <col min="18" max="18" width="8.875" style="432" customWidth="1"/>
    <col min="19" max="19" width="10.875" style="432" customWidth="1"/>
    <col min="20" max="20" width="6.75390625" style="403" customWidth="1"/>
    <col min="21" max="21" width="11.50390625" style="407" bestFit="1" customWidth="1"/>
    <col min="22" max="16384" width="9.00390625" style="403" customWidth="1"/>
  </cols>
  <sheetData>
    <row r="1" spans="1:20" ht="20.25" customHeight="1">
      <c r="A1" s="423" t="s">
        <v>28</v>
      </c>
      <c r="E1" s="963" t="s">
        <v>64</v>
      </c>
      <c r="F1" s="963"/>
      <c r="G1" s="963"/>
      <c r="H1" s="963"/>
      <c r="I1" s="963"/>
      <c r="J1" s="963"/>
      <c r="K1" s="963"/>
      <c r="L1" s="963"/>
      <c r="M1" s="963"/>
      <c r="N1" s="963"/>
      <c r="O1" s="963"/>
      <c r="P1" s="963"/>
      <c r="Q1" s="408" t="s">
        <v>428</v>
      </c>
      <c r="R1" s="435"/>
      <c r="S1" s="435"/>
      <c r="T1" s="404"/>
    </row>
    <row r="2" spans="1:20" ht="17.25" customHeight="1">
      <c r="A2" s="962" t="s">
        <v>237</v>
      </c>
      <c r="B2" s="962"/>
      <c r="C2" s="962"/>
      <c r="D2" s="962"/>
      <c r="E2" s="964" t="s">
        <v>34</v>
      </c>
      <c r="F2" s="964"/>
      <c r="G2" s="964"/>
      <c r="H2" s="964"/>
      <c r="I2" s="964"/>
      <c r="J2" s="964"/>
      <c r="K2" s="964"/>
      <c r="L2" s="964"/>
      <c r="M2" s="964"/>
      <c r="N2" s="964"/>
      <c r="O2" s="964"/>
      <c r="P2" s="964"/>
      <c r="Q2" s="970" t="str">
        <f>'Thong tin'!B4</f>
        <v>CTHADS Hải Phòng</v>
      </c>
      <c r="R2" s="970"/>
      <c r="S2" s="970"/>
      <c r="T2" s="970"/>
    </row>
    <row r="3" spans="1:20" ht="18" customHeight="1">
      <c r="A3" s="962" t="s">
        <v>238</v>
      </c>
      <c r="B3" s="962"/>
      <c r="C3" s="962"/>
      <c r="D3" s="962"/>
      <c r="E3" s="965" t="str">
        <f>'Thong tin'!B3</f>
        <v>11 tháng / năm 2016</v>
      </c>
      <c r="F3" s="965"/>
      <c r="G3" s="965"/>
      <c r="H3" s="965"/>
      <c r="I3" s="965"/>
      <c r="J3" s="965"/>
      <c r="K3" s="965"/>
      <c r="L3" s="965"/>
      <c r="M3" s="965"/>
      <c r="N3" s="965"/>
      <c r="O3" s="965"/>
      <c r="P3" s="965"/>
      <c r="Q3" s="408" t="s">
        <v>551</v>
      </c>
      <c r="R3" s="436"/>
      <c r="S3" s="435"/>
      <c r="T3" s="404"/>
    </row>
    <row r="4" spans="1:20" ht="14.25" customHeight="1">
      <c r="A4" s="424" t="s">
        <v>116</v>
      </c>
      <c r="Q4" s="971" t="s">
        <v>300</v>
      </c>
      <c r="R4" s="971"/>
      <c r="S4" s="971"/>
      <c r="T4" s="971"/>
    </row>
    <row r="5" spans="17:20" ht="21.75" customHeight="1" thickBot="1">
      <c r="Q5" s="968" t="s">
        <v>429</v>
      </c>
      <c r="R5" s="968"/>
      <c r="S5" s="968"/>
      <c r="T5" s="968"/>
    </row>
    <row r="6" spans="1:36" ht="18.75" customHeight="1" thickTop="1">
      <c r="A6" s="979" t="s">
        <v>55</v>
      </c>
      <c r="B6" s="980"/>
      <c r="C6" s="985" t="s">
        <v>117</v>
      </c>
      <c r="D6" s="985"/>
      <c r="E6" s="985"/>
      <c r="F6" s="966" t="s">
        <v>99</v>
      </c>
      <c r="G6" s="966" t="s">
        <v>118</v>
      </c>
      <c r="H6" s="987" t="s">
        <v>100</v>
      </c>
      <c r="I6" s="987"/>
      <c r="J6" s="987"/>
      <c r="K6" s="987"/>
      <c r="L6" s="987"/>
      <c r="M6" s="987"/>
      <c r="N6" s="987"/>
      <c r="O6" s="987"/>
      <c r="P6" s="987"/>
      <c r="Q6" s="987"/>
      <c r="R6" s="987"/>
      <c r="S6" s="983" t="s">
        <v>242</v>
      </c>
      <c r="T6" s="972" t="s">
        <v>427</v>
      </c>
      <c r="U6" s="408"/>
      <c r="V6" s="404"/>
      <c r="W6" s="404"/>
      <c r="X6" s="404"/>
      <c r="Y6" s="404"/>
      <c r="Z6" s="404"/>
      <c r="AA6" s="404"/>
      <c r="AB6" s="404"/>
      <c r="AC6" s="404"/>
      <c r="AD6" s="404"/>
      <c r="AE6" s="404"/>
      <c r="AF6" s="404"/>
      <c r="AG6" s="404"/>
      <c r="AH6" s="404"/>
      <c r="AI6" s="404"/>
      <c r="AJ6" s="404"/>
    </row>
    <row r="7" spans="1:36" s="405" customFormat="1" ht="21" customHeight="1">
      <c r="A7" s="981"/>
      <c r="B7" s="982"/>
      <c r="C7" s="984" t="s">
        <v>42</v>
      </c>
      <c r="D7" s="969" t="s">
        <v>7</v>
      </c>
      <c r="E7" s="969"/>
      <c r="F7" s="967"/>
      <c r="G7" s="967"/>
      <c r="H7" s="961" t="s">
        <v>100</v>
      </c>
      <c r="I7" s="969" t="s">
        <v>101</v>
      </c>
      <c r="J7" s="969"/>
      <c r="K7" s="969"/>
      <c r="L7" s="969"/>
      <c r="M7" s="969"/>
      <c r="N7" s="969"/>
      <c r="O7" s="969"/>
      <c r="P7" s="969"/>
      <c r="Q7" s="969"/>
      <c r="R7" s="961" t="s">
        <v>119</v>
      </c>
      <c r="S7" s="984"/>
      <c r="T7" s="973"/>
      <c r="U7" s="408"/>
      <c r="V7" s="404"/>
      <c r="W7" s="404"/>
      <c r="X7" s="404"/>
      <c r="Y7" s="404"/>
      <c r="Z7" s="404"/>
      <c r="AA7" s="404"/>
      <c r="AB7" s="404"/>
      <c r="AC7" s="404"/>
      <c r="AD7" s="404"/>
      <c r="AE7" s="404"/>
      <c r="AF7" s="404"/>
      <c r="AG7" s="404"/>
      <c r="AH7" s="404"/>
      <c r="AI7" s="404"/>
      <c r="AJ7" s="404"/>
    </row>
    <row r="8" spans="1:36" ht="21.75" customHeight="1">
      <c r="A8" s="981"/>
      <c r="B8" s="982"/>
      <c r="C8" s="984"/>
      <c r="D8" s="969" t="s">
        <v>120</v>
      </c>
      <c r="E8" s="969" t="s">
        <v>121</v>
      </c>
      <c r="F8" s="967"/>
      <c r="G8" s="967"/>
      <c r="H8" s="961"/>
      <c r="I8" s="961" t="s">
        <v>426</v>
      </c>
      <c r="J8" s="969" t="s">
        <v>7</v>
      </c>
      <c r="K8" s="969"/>
      <c r="L8" s="969"/>
      <c r="M8" s="969"/>
      <c r="N8" s="969"/>
      <c r="O8" s="969"/>
      <c r="P8" s="969"/>
      <c r="Q8" s="969"/>
      <c r="R8" s="961"/>
      <c r="S8" s="984"/>
      <c r="T8" s="973"/>
      <c r="U8" s="408"/>
      <c r="V8" s="404"/>
      <c r="W8" s="404"/>
      <c r="X8" s="404"/>
      <c r="Y8" s="404"/>
      <c r="Z8" s="404"/>
      <c r="AA8" s="404"/>
      <c r="AB8" s="404"/>
      <c r="AC8" s="404"/>
      <c r="AD8" s="404"/>
      <c r="AE8" s="404"/>
      <c r="AF8" s="404"/>
      <c r="AG8" s="404"/>
      <c r="AH8" s="404"/>
      <c r="AI8" s="404"/>
      <c r="AJ8" s="404"/>
    </row>
    <row r="9" spans="1:36" ht="84" customHeight="1">
      <c r="A9" s="981"/>
      <c r="B9" s="982"/>
      <c r="C9" s="984"/>
      <c r="D9" s="969"/>
      <c r="E9" s="969"/>
      <c r="F9" s="967"/>
      <c r="G9" s="967"/>
      <c r="H9" s="961"/>
      <c r="I9" s="961"/>
      <c r="J9" s="412" t="s">
        <v>122</v>
      </c>
      <c r="K9" s="412" t="s">
        <v>123</v>
      </c>
      <c r="L9" s="412" t="s">
        <v>115</v>
      </c>
      <c r="M9" s="413" t="s">
        <v>103</v>
      </c>
      <c r="N9" s="413" t="s">
        <v>124</v>
      </c>
      <c r="O9" s="413" t="s">
        <v>106</v>
      </c>
      <c r="P9" s="413" t="s">
        <v>243</v>
      </c>
      <c r="Q9" s="413" t="s">
        <v>109</v>
      </c>
      <c r="R9" s="961"/>
      <c r="S9" s="984"/>
      <c r="T9" s="973"/>
      <c r="U9" s="408"/>
      <c r="V9" s="404"/>
      <c r="W9" s="404"/>
      <c r="X9" s="404"/>
      <c r="Y9" s="404"/>
      <c r="Z9" s="404"/>
      <c r="AA9" s="404"/>
      <c r="AB9" s="404"/>
      <c r="AC9" s="404"/>
      <c r="AD9" s="404"/>
      <c r="AE9" s="404"/>
      <c r="AF9" s="404"/>
      <c r="AG9" s="404"/>
      <c r="AH9" s="404"/>
      <c r="AI9" s="404"/>
      <c r="AJ9" s="404"/>
    </row>
    <row r="10" spans="1:20" ht="17.25" customHeight="1">
      <c r="A10" s="988" t="s">
        <v>6</v>
      </c>
      <c r="B10" s="989"/>
      <c r="C10" s="433">
        <v>1</v>
      </c>
      <c r="D10" s="409">
        <v>2</v>
      </c>
      <c r="E10" s="409">
        <v>3</v>
      </c>
      <c r="F10" s="409">
        <v>4</v>
      </c>
      <c r="G10" s="409">
        <v>5</v>
      </c>
      <c r="H10" s="433">
        <v>6</v>
      </c>
      <c r="I10" s="433">
        <v>7</v>
      </c>
      <c r="J10" s="409">
        <v>8</v>
      </c>
      <c r="K10" s="409">
        <v>9</v>
      </c>
      <c r="L10" s="409" t="s">
        <v>81</v>
      </c>
      <c r="M10" s="409" t="s">
        <v>82</v>
      </c>
      <c r="N10" s="409" t="s">
        <v>83</v>
      </c>
      <c r="O10" s="409" t="s">
        <v>84</v>
      </c>
      <c r="P10" s="409" t="s">
        <v>85</v>
      </c>
      <c r="Q10" s="409" t="s">
        <v>245</v>
      </c>
      <c r="R10" s="433" t="s">
        <v>246</v>
      </c>
      <c r="S10" s="433" t="s">
        <v>247</v>
      </c>
      <c r="T10" s="406" t="s">
        <v>248</v>
      </c>
    </row>
    <row r="11" spans="1:21" s="501" customFormat="1" ht="24" customHeight="1">
      <c r="A11" s="977" t="s">
        <v>30</v>
      </c>
      <c r="B11" s="978"/>
      <c r="C11" s="488">
        <f aca="true" t="shared" si="0" ref="C11:S11">C12+C32</f>
        <v>4506931344</v>
      </c>
      <c r="D11" s="489">
        <f t="shared" si="0"/>
        <v>2823537944</v>
      </c>
      <c r="E11" s="489">
        <f t="shared" si="0"/>
        <v>1683393400</v>
      </c>
      <c r="F11" s="489">
        <f t="shared" si="0"/>
        <v>413371679</v>
      </c>
      <c r="G11" s="489">
        <f t="shared" si="0"/>
        <v>55593316</v>
      </c>
      <c r="H11" s="488">
        <f t="shared" si="0"/>
        <v>4093559665</v>
      </c>
      <c r="I11" s="488">
        <f t="shared" si="0"/>
        <v>3106321578</v>
      </c>
      <c r="J11" s="489">
        <f t="shared" si="0"/>
        <v>517072971</v>
      </c>
      <c r="K11" s="489">
        <f t="shared" si="0"/>
        <v>139654979</v>
      </c>
      <c r="L11" s="489">
        <f t="shared" si="0"/>
        <v>20821</v>
      </c>
      <c r="M11" s="489">
        <f t="shared" si="0"/>
        <v>2408337050</v>
      </c>
      <c r="N11" s="489">
        <f t="shared" si="0"/>
        <v>16066499</v>
      </c>
      <c r="O11" s="489">
        <f t="shared" si="0"/>
        <v>14117381</v>
      </c>
      <c r="P11" s="489">
        <f t="shared" si="0"/>
        <v>0</v>
      </c>
      <c r="Q11" s="489">
        <f t="shared" si="0"/>
        <v>11051877</v>
      </c>
      <c r="R11" s="488">
        <f t="shared" si="0"/>
        <v>987238087</v>
      </c>
      <c r="S11" s="488">
        <f t="shared" si="0"/>
        <v>3436810894</v>
      </c>
      <c r="T11" s="485">
        <f>(J11+K11+L11)/I11*100</f>
        <v>21.14233039010876</v>
      </c>
      <c r="U11" s="500">
        <f>C11-F11-H11</f>
        <v>0</v>
      </c>
    </row>
    <row r="12" spans="1:21" s="422" customFormat="1" ht="24" customHeight="1">
      <c r="A12" s="448" t="s">
        <v>0</v>
      </c>
      <c r="B12" s="449" t="s">
        <v>78</v>
      </c>
      <c r="C12" s="481">
        <f>SUM(C13:C31)</f>
        <v>1593099398</v>
      </c>
      <c r="D12" s="482">
        <f aca="true" t="shared" si="1" ref="D12:S12">SUM(D13:D31)</f>
        <v>916490117</v>
      </c>
      <c r="E12" s="482">
        <f t="shared" si="1"/>
        <v>676609281</v>
      </c>
      <c r="F12" s="482">
        <f t="shared" si="1"/>
        <v>332500885</v>
      </c>
      <c r="G12" s="482">
        <f t="shared" si="1"/>
        <v>0</v>
      </c>
      <c r="H12" s="481">
        <f t="shared" si="1"/>
        <v>1260598513</v>
      </c>
      <c r="I12" s="481">
        <f t="shared" si="1"/>
        <v>1023436876</v>
      </c>
      <c r="J12" s="482">
        <f t="shared" si="1"/>
        <v>184383813</v>
      </c>
      <c r="K12" s="482">
        <f t="shared" si="1"/>
        <v>64852032</v>
      </c>
      <c r="L12" s="482">
        <f t="shared" si="1"/>
        <v>0</v>
      </c>
      <c r="M12" s="482">
        <f t="shared" si="1"/>
        <v>765691031</v>
      </c>
      <c r="N12" s="482">
        <f t="shared" si="1"/>
        <v>8510000</v>
      </c>
      <c r="O12" s="482">
        <f t="shared" si="1"/>
        <v>0</v>
      </c>
      <c r="P12" s="482">
        <f t="shared" si="1"/>
        <v>0</v>
      </c>
      <c r="Q12" s="482">
        <f t="shared" si="1"/>
        <v>0</v>
      </c>
      <c r="R12" s="481">
        <f t="shared" si="1"/>
        <v>237161637</v>
      </c>
      <c r="S12" s="481">
        <f t="shared" si="1"/>
        <v>1011362668</v>
      </c>
      <c r="T12" s="483">
        <f>(J12+K12+L12)/I12*100</f>
        <v>24.352830237475242</v>
      </c>
      <c r="U12" s="500">
        <f>H11-I11-R11</f>
        <v>0</v>
      </c>
    </row>
    <row r="13" spans="1:21" s="501" customFormat="1" ht="24" customHeight="1">
      <c r="A13" s="425" t="s">
        <v>45</v>
      </c>
      <c r="B13" s="418" t="s">
        <v>436</v>
      </c>
      <c r="C13" s="488">
        <f>D13+E13</f>
        <v>10539787</v>
      </c>
      <c r="D13" s="485">
        <v>0</v>
      </c>
      <c r="E13" s="485">
        <v>10539787</v>
      </c>
      <c r="F13" s="489"/>
      <c r="G13" s="485"/>
      <c r="H13" s="488">
        <f>I13+R13</f>
        <v>10539787</v>
      </c>
      <c r="I13" s="488">
        <f>SUM(J13:Q13)</f>
        <v>10539787</v>
      </c>
      <c r="J13" s="485">
        <f>157033+4429774+81000+200+400+56523</f>
        <v>4724930</v>
      </c>
      <c r="K13" s="485"/>
      <c r="L13" s="485"/>
      <c r="M13" s="485">
        <f>10325831-4454051-56923</f>
        <v>5814857</v>
      </c>
      <c r="N13" s="490"/>
      <c r="O13" s="485"/>
      <c r="P13" s="485"/>
      <c r="Q13" s="485"/>
      <c r="R13" s="491"/>
      <c r="S13" s="484">
        <f>H13-J13-K13-L13</f>
        <v>5814857</v>
      </c>
      <c r="T13" s="485">
        <f>(J13+K13+L13)/I13*100</f>
        <v>44.82946382123282</v>
      </c>
      <c r="U13" s="500">
        <f aca="true" t="shared" si="2" ref="U12:U75">H13-I13-R13</f>
        <v>0</v>
      </c>
    </row>
    <row r="14" spans="1:21" s="501" customFormat="1" ht="24" customHeight="1">
      <c r="A14" s="425" t="s">
        <v>46</v>
      </c>
      <c r="B14" s="418" t="s">
        <v>437</v>
      </c>
      <c r="C14" s="488">
        <f aca="true" t="shared" si="3" ref="C14:C31">D14+E14</f>
        <v>36900</v>
      </c>
      <c r="D14" s="485">
        <v>5150</v>
      </c>
      <c r="E14" s="485">
        <v>31750</v>
      </c>
      <c r="F14" s="489"/>
      <c r="G14" s="485"/>
      <c r="H14" s="488">
        <f aca="true" t="shared" si="4" ref="H14:H31">I14+R14</f>
        <v>36900</v>
      </c>
      <c r="I14" s="488">
        <f aca="true" t="shared" si="5" ref="I14:I31">SUM(J14:Q14)</f>
        <v>36900</v>
      </c>
      <c r="J14" s="485">
        <v>31750</v>
      </c>
      <c r="K14" s="485"/>
      <c r="L14" s="485"/>
      <c r="M14" s="485">
        <v>5150</v>
      </c>
      <c r="N14" s="490"/>
      <c r="O14" s="485"/>
      <c r="P14" s="485"/>
      <c r="Q14" s="485"/>
      <c r="R14" s="491"/>
      <c r="S14" s="484">
        <f aca="true" t="shared" si="6" ref="S14:S76">H14-J14-K14-L14</f>
        <v>5150</v>
      </c>
      <c r="T14" s="485">
        <f aca="true" t="shared" si="7" ref="T14:T76">(J14+K14+L14)/I14*100</f>
        <v>86.04336043360433</v>
      </c>
      <c r="U14" s="500">
        <f t="shared" si="2"/>
        <v>0</v>
      </c>
    </row>
    <row r="15" spans="1:21" s="501" customFormat="1" ht="24" customHeight="1">
      <c r="A15" s="425" t="s">
        <v>102</v>
      </c>
      <c r="B15" s="418" t="s">
        <v>434</v>
      </c>
      <c r="C15" s="488">
        <f t="shared" si="3"/>
        <v>11900</v>
      </c>
      <c r="D15" s="485">
        <v>100</v>
      </c>
      <c r="E15" s="485">
        <v>11800</v>
      </c>
      <c r="F15" s="489"/>
      <c r="G15" s="485"/>
      <c r="H15" s="488">
        <f t="shared" si="4"/>
        <v>11900</v>
      </c>
      <c r="I15" s="488">
        <f t="shared" si="5"/>
        <v>11900</v>
      </c>
      <c r="J15" s="485">
        <v>1800</v>
      </c>
      <c r="K15" s="485"/>
      <c r="L15" s="485"/>
      <c r="M15" s="485">
        <v>10100</v>
      </c>
      <c r="N15" s="490"/>
      <c r="O15" s="485"/>
      <c r="P15" s="485"/>
      <c r="Q15" s="485"/>
      <c r="R15" s="491"/>
      <c r="S15" s="484">
        <f t="shared" si="6"/>
        <v>10100</v>
      </c>
      <c r="T15" s="485">
        <f t="shared" si="7"/>
        <v>15.126050420168067</v>
      </c>
      <c r="U15" s="500">
        <f t="shared" si="2"/>
        <v>0</v>
      </c>
    </row>
    <row r="16" spans="1:21" s="501" customFormat="1" ht="24" customHeight="1">
      <c r="A16" s="425" t="s">
        <v>104</v>
      </c>
      <c r="B16" s="418" t="s">
        <v>543</v>
      </c>
      <c r="C16" s="488">
        <f t="shared" si="3"/>
        <v>806628</v>
      </c>
      <c r="D16" s="485"/>
      <c r="E16" s="485">
        <v>806628</v>
      </c>
      <c r="F16" s="489">
        <v>75561</v>
      </c>
      <c r="G16" s="485"/>
      <c r="H16" s="488">
        <f t="shared" si="4"/>
        <v>731067</v>
      </c>
      <c r="I16" s="488">
        <f t="shared" si="5"/>
        <v>731067</v>
      </c>
      <c r="J16" s="485">
        <v>432058</v>
      </c>
      <c r="K16" s="485"/>
      <c r="L16" s="485"/>
      <c r="M16" s="485">
        <v>299009</v>
      </c>
      <c r="N16" s="490"/>
      <c r="O16" s="485"/>
      <c r="P16" s="485"/>
      <c r="Q16" s="485"/>
      <c r="R16" s="491"/>
      <c r="S16" s="484">
        <f t="shared" si="6"/>
        <v>299009</v>
      </c>
      <c r="T16" s="485">
        <f t="shared" si="7"/>
        <v>59.099644765801216</v>
      </c>
      <c r="U16" s="500">
        <f t="shared" si="2"/>
        <v>0</v>
      </c>
    </row>
    <row r="17" spans="1:21" s="501" customFormat="1" ht="24" customHeight="1">
      <c r="A17" s="425" t="s">
        <v>105</v>
      </c>
      <c r="B17" s="418" t="s">
        <v>438</v>
      </c>
      <c r="C17" s="488">
        <f t="shared" si="3"/>
        <v>4014209</v>
      </c>
      <c r="D17" s="502">
        <v>3733193</v>
      </c>
      <c r="E17" s="502">
        <v>281016</v>
      </c>
      <c r="F17" s="489">
        <v>51300</v>
      </c>
      <c r="G17" s="502"/>
      <c r="H17" s="488">
        <f t="shared" si="4"/>
        <v>3962909</v>
      </c>
      <c r="I17" s="488">
        <f t="shared" si="5"/>
        <v>3962909</v>
      </c>
      <c r="J17" s="502">
        <v>181494</v>
      </c>
      <c r="K17" s="502"/>
      <c r="L17" s="502"/>
      <c r="M17" s="502">
        <v>3781415</v>
      </c>
      <c r="N17" s="490"/>
      <c r="O17" s="502"/>
      <c r="P17" s="502"/>
      <c r="Q17" s="502"/>
      <c r="R17" s="491"/>
      <c r="S17" s="484">
        <f t="shared" si="6"/>
        <v>3781415</v>
      </c>
      <c r="T17" s="485">
        <f t="shared" si="7"/>
        <v>4.579817502748612</v>
      </c>
      <c r="U17" s="500">
        <f t="shared" si="2"/>
        <v>0</v>
      </c>
    </row>
    <row r="18" spans="1:21" s="501" customFormat="1" ht="24" customHeight="1">
      <c r="A18" s="425" t="s">
        <v>107</v>
      </c>
      <c r="B18" s="418" t="s">
        <v>439</v>
      </c>
      <c r="C18" s="488">
        <f t="shared" si="3"/>
        <v>136169394</v>
      </c>
      <c r="D18" s="485">
        <f>4516883+122537151</f>
        <v>127054034</v>
      </c>
      <c r="E18" s="485">
        <v>9115360</v>
      </c>
      <c r="F18" s="489">
        <v>79312507</v>
      </c>
      <c r="G18" s="485"/>
      <c r="H18" s="488">
        <f t="shared" si="4"/>
        <v>56856887</v>
      </c>
      <c r="I18" s="488">
        <f t="shared" si="5"/>
        <v>56856887</v>
      </c>
      <c r="J18" s="485">
        <v>14209976</v>
      </c>
      <c r="K18" s="485"/>
      <c r="L18" s="485"/>
      <c r="M18" s="485">
        <v>42646911</v>
      </c>
      <c r="N18" s="490"/>
      <c r="O18" s="485"/>
      <c r="P18" s="485"/>
      <c r="Q18" s="485"/>
      <c r="R18" s="491"/>
      <c r="S18" s="484">
        <f t="shared" si="6"/>
        <v>42646911</v>
      </c>
      <c r="T18" s="485">
        <f t="shared" si="7"/>
        <v>24.992532566899065</v>
      </c>
      <c r="U18" s="500">
        <f t="shared" si="2"/>
        <v>0</v>
      </c>
    </row>
    <row r="19" spans="1:21" s="501" customFormat="1" ht="24" customHeight="1">
      <c r="A19" s="425" t="s">
        <v>108</v>
      </c>
      <c r="B19" s="418" t="s">
        <v>440</v>
      </c>
      <c r="C19" s="488">
        <f t="shared" si="3"/>
        <v>28027121</v>
      </c>
      <c r="D19" s="485">
        <v>25021546</v>
      </c>
      <c r="E19" s="485">
        <v>3005575</v>
      </c>
      <c r="F19" s="489">
        <v>8221</v>
      </c>
      <c r="G19" s="485"/>
      <c r="H19" s="488">
        <f t="shared" si="4"/>
        <v>28018900</v>
      </c>
      <c r="I19" s="488">
        <f t="shared" si="5"/>
        <v>27889294</v>
      </c>
      <c r="J19" s="485">
        <v>825538</v>
      </c>
      <c r="K19" s="485"/>
      <c r="L19" s="485"/>
      <c r="M19" s="485">
        <v>27063756</v>
      </c>
      <c r="N19" s="490"/>
      <c r="O19" s="485"/>
      <c r="P19" s="485"/>
      <c r="Q19" s="485"/>
      <c r="R19" s="491">
        <f>110705+18901</f>
        <v>129606</v>
      </c>
      <c r="S19" s="484">
        <f t="shared" si="6"/>
        <v>27193362</v>
      </c>
      <c r="T19" s="485">
        <f t="shared" si="7"/>
        <v>2.960053416913315</v>
      </c>
      <c r="U19" s="500">
        <f t="shared" si="2"/>
        <v>0</v>
      </c>
    </row>
    <row r="20" spans="1:21" s="501" customFormat="1" ht="24" customHeight="1">
      <c r="A20" s="425" t="s">
        <v>114</v>
      </c>
      <c r="B20" s="418" t="s">
        <v>441</v>
      </c>
      <c r="C20" s="488">
        <f t="shared" si="3"/>
        <v>1276614</v>
      </c>
      <c r="D20" s="485">
        <v>7200</v>
      </c>
      <c r="E20" s="485">
        <v>1269414</v>
      </c>
      <c r="F20" s="489">
        <v>1035260</v>
      </c>
      <c r="G20" s="485"/>
      <c r="H20" s="488">
        <f t="shared" si="4"/>
        <v>241354</v>
      </c>
      <c r="I20" s="488">
        <f t="shared" si="5"/>
        <v>241354</v>
      </c>
      <c r="J20" s="485">
        <v>90254</v>
      </c>
      <c r="K20" s="485"/>
      <c r="L20" s="485"/>
      <c r="M20" s="485">
        <v>151100</v>
      </c>
      <c r="N20" s="490"/>
      <c r="O20" s="485"/>
      <c r="P20" s="485"/>
      <c r="Q20" s="485"/>
      <c r="R20" s="491"/>
      <c r="S20" s="484">
        <f t="shared" si="6"/>
        <v>151100</v>
      </c>
      <c r="T20" s="485">
        <f t="shared" si="7"/>
        <v>37.39486397573689</v>
      </c>
      <c r="U20" s="500">
        <f t="shared" si="2"/>
        <v>0</v>
      </c>
    </row>
    <row r="21" spans="1:21" s="501" customFormat="1" ht="24" customHeight="1">
      <c r="A21" s="425" t="s">
        <v>424</v>
      </c>
      <c r="B21" s="418" t="s">
        <v>442</v>
      </c>
      <c r="C21" s="488">
        <f t="shared" si="3"/>
        <v>6581232</v>
      </c>
      <c r="D21" s="485">
        <v>0</v>
      </c>
      <c r="E21" s="485">
        <v>6581232</v>
      </c>
      <c r="F21" s="489"/>
      <c r="G21" s="485"/>
      <c r="H21" s="488">
        <f t="shared" si="4"/>
        <v>6581232</v>
      </c>
      <c r="I21" s="488">
        <f t="shared" si="5"/>
        <v>6581232</v>
      </c>
      <c r="J21" s="485">
        <v>6581232</v>
      </c>
      <c r="K21" s="485"/>
      <c r="L21" s="485"/>
      <c r="M21" s="485" t="s">
        <v>432</v>
      </c>
      <c r="N21" s="490"/>
      <c r="O21" s="485"/>
      <c r="P21" s="485"/>
      <c r="Q21" s="485">
        <v>0</v>
      </c>
      <c r="R21" s="491"/>
      <c r="S21" s="484">
        <f t="shared" si="6"/>
        <v>0</v>
      </c>
      <c r="T21" s="485">
        <f t="shared" si="7"/>
        <v>100</v>
      </c>
      <c r="U21" s="500">
        <f t="shared" si="2"/>
        <v>0</v>
      </c>
    </row>
    <row r="22" spans="1:21" s="501" customFormat="1" ht="24" customHeight="1">
      <c r="A22" s="425" t="s">
        <v>443</v>
      </c>
      <c r="B22" s="418" t="s">
        <v>444</v>
      </c>
      <c r="C22" s="488">
        <f t="shared" si="3"/>
        <v>221600406</v>
      </c>
      <c r="D22" s="485">
        <v>186418958</v>
      </c>
      <c r="E22" s="485">
        <v>35181448</v>
      </c>
      <c r="F22" s="489">
        <v>5436495</v>
      </c>
      <c r="G22" s="485"/>
      <c r="H22" s="488">
        <f t="shared" si="4"/>
        <v>216163911</v>
      </c>
      <c r="I22" s="488">
        <f t="shared" si="5"/>
        <v>216163911</v>
      </c>
      <c r="J22" s="485">
        <v>113028333</v>
      </c>
      <c r="K22" s="485"/>
      <c r="L22" s="485"/>
      <c r="M22" s="485">
        <v>103135578</v>
      </c>
      <c r="N22" s="485">
        <v>0</v>
      </c>
      <c r="O22" s="485"/>
      <c r="P22" s="485"/>
      <c r="Q22" s="485"/>
      <c r="R22" s="491"/>
      <c r="S22" s="484">
        <f t="shared" si="6"/>
        <v>103135578</v>
      </c>
      <c r="T22" s="485">
        <f t="shared" si="7"/>
        <v>52.28825314878763</v>
      </c>
      <c r="U22" s="500">
        <f t="shared" si="2"/>
        <v>0</v>
      </c>
    </row>
    <row r="23" spans="1:21" s="501" customFormat="1" ht="24" customHeight="1">
      <c r="A23" s="425" t="s">
        <v>445</v>
      </c>
      <c r="B23" s="418" t="s">
        <v>446</v>
      </c>
      <c r="C23" s="488">
        <f t="shared" si="3"/>
        <v>113577174</v>
      </c>
      <c r="D23" s="485">
        <v>91718053</v>
      </c>
      <c r="E23" s="485">
        <v>21859121</v>
      </c>
      <c r="F23" s="489">
        <v>1800400</v>
      </c>
      <c r="G23" s="485"/>
      <c r="H23" s="488">
        <f t="shared" si="4"/>
        <v>111776774</v>
      </c>
      <c r="I23" s="488">
        <f t="shared" si="5"/>
        <v>111776774</v>
      </c>
      <c r="J23" s="485">
        <v>3115202</v>
      </c>
      <c r="K23" s="485">
        <v>63435756</v>
      </c>
      <c r="L23" s="485"/>
      <c r="M23" s="485">
        <v>45225816</v>
      </c>
      <c r="N23" s="490"/>
      <c r="O23" s="485"/>
      <c r="P23" s="485"/>
      <c r="Q23" s="485"/>
      <c r="R23" s="491"/>
      <c r="S23" s="484">
        <f t="shared" si="6"/>
        <v>45225816</v>
      </c>
      <c r="T23" s="485">
        <f t="shared" si="7"/>
        <v>59.5391650862996</v>
      </c>
      <c r="U23" s="500">
        <f t="shared" si="2"/>
        <v>0</v>
      </c>
    </row>
    <row r="24" spans="1:21" s="501" customFormat="1" ht="24" customHeight="1">
      <c r="A24" s="425" t="s">
        <v>447</v>
      </c>
      <c r="B24" s="418" t="s">
        <v>598</v>
      </c>
      <c r="C24" s="488">
        <f t="shared" si="3"/>
        <v>20213543</v>
      </c>
      <c r="D24" s="489">
        <v>183598</v>
      </c>
      <c r="E24" s="489">
        <v>20029945</v>
      </c>
      <c r="F24" s="489">
        <v>38800</v>
      </c>
      <c r="G24" s="485"/>
      <c r="H24" s="488">
        <f t="shared" si="4"/>
        <v>20174743</v>
      </c>
      <c r="I24" s="488">
        <f t="shared" si="5"/>
        <v>20174743</v>
      </c>
      <c r="J24" s="489">
        <v>2874388</v>
      </c>
      <c r="K24" s="489"/>
      <c r="L24" s="490"/>
      <c r="M24" s="490">
        <v>17300355</v>
      </c>
      <c r="N24" s="490"/>
      <c r="O24" s="485"/>
      <c r="P24" s="485"/>
      <c r="Q24" s="485"/>
      <c r="R24" s="491"/>
      <c r="S24" s="484">
        <f t="shared" si="6"/>
        <v>17300355</v>
      </c>
      <c r="T24" s="485">
        <f t="shared" si="7"/>
        <v>14.247457823874138</v>
      </c>
      <c r="U24" s="500">
        <f t="shared" si="2"/>
        <v>0</v>
      </c>
    </row>
    <row r="25" spans="1:21" s="501" customFormat="1" ht="24" customHeight="1">
      <c r="A25" s="425" t="s">
        <v>448</v>
      </c>
      <c r="B25" s="418" t="s">
        <v>556</v>
      </c>
      <c r="C25" s="488">
        <f t="shared" si="3"/>
        <v>556646855</v>
      </c>
      <c r="D25" s="628">
        <v>58262058</v>
      </c>
      <c r="E25" s="629">
        <f>501105230-2720433</f>
        <v>498384797</v>
      </c>
      <c r="F25" s="629">
        <v>236786440</v>
      </c>
      <c r="G25" s="629"/>
      <c r="H25" s="488">
        <f t="shared" si="4"/>
        <v>319860415</v>
      </c>
      <c r="I25" s="488">
        <f t="shared" si="5"/>
        <v>83211636</v>
      </c>
      <c r="J25" s="629">
        <v>19011950</v>
      </c>
      <c r="K25" s="629"/>
      <c r="L25" s="630">
        <v>0</v>
      </c>
      <c r="M25" s="630">
        <v>64199686</v>
      </c>
      <c r="N25" s="631">
        <v>0</v>
      </c>
      <c r="O25" s="632"/>
      <c r="P25" s="632"/>
      <c r="Q25" s="632"/>
      <c r="R25" s="633">
        <v>236648779</v>
      </c>
      <c r="S25" s="484">
        <f t="shared" si="6"/>
        <v>300848465</v>
      </c>
      <c r="T25" s="485">
        <f t="shared" si="7"/>
        <v>22.84770605880168</v>
      </c>
      <c r="U25" s="500">
        <f>C25-F25-H25</f>
        <v>0</v>
      </c>
    </row>
    <row r="26" spans="1:21" s="501" customFormat="1" ht="24" customHeight="1">
      <c r="A26" s="425" t="s">
        <v>450</v>
      </c>
      <c r="B26" s="418" t="s">
        <v>449</v>
      </c>
      <c r="C26" s="488">
        <f t="shared" si="3"/>
        <v>2673672</v>
      </c>
      <c r="D26" s="489">
        <f>372744159-314214212-57718350</f>
        <v>811597</v>
      </c>
      <c r="E26" s="489">
        <v>1862075</v>
      </c>
      <c r="F26" s="489">
        <v>1650470</v>
      </c>
      <c r="G26" s="489"/>
      <c r="H26" s="488">
        <f t="shared" si="4"/>
        <v>1023202</v>
      </c>
      <c r="I26" s="488">
        <f t="shared" si="5"/>
        <v>1023202</v>
      </c>
      <c r="J26" s="489">
        <v>642505</v>
      </c>
      <c r="K26" s="489">
        <v>380697</v>
      </c>
      <c r="L26" s="490"/>
      <c r="M26" s="490">
        <v>0</v>
      </c>
      <c r="N26" s="490"/>
      <c r="O26" s="485">
        <v>0</v>
      </c>
      <c r="P26" s="485"/>
      <c r="Q26" s="485"/>
      <c r="R26" s="491"/>
      <c r="S26" s="484">
        <f t="shared" si="6"/>
        <v>0</v>
      </c>
      <c r="T26" s="485">
        <f t="shared" si="7"/>
        <v>100</v>
      </c>
      <c r="U26" s="500">
        <f t="shared" si="2"/>
        <v>0</v>
      </c>
    </row>
    <row r="27" spans="1:21" s="501" customFormat="1" ht="24" customHeight="1">
      <c r="A27" s="425" t="s">
        <v>452</v>
      </c>
      <c r="B27" s="418" t="s">
        <v>451</v>
      </c>
      <c r="C27" s="488">
        <f t="shared" si="3"/>
        <v>437249125</v>
      </c>
      <c r="D27" s="489">
        <v>422257336</v>
      </c>
      <c r="E27" s="489">
        <v>14991789</v>
      </c>
      <c r="F27" s="489">
        <v>141629</v>
      </c>
      <c r="G27" s="489"/>
      <c r="H27" s="488">
        <f t="shared" si="4"/>
        <v>437107496</v>
      </c>
      <c r="I27" s="488">
        <f t="shared" si="5"/>
        <v>436749244</v>
      </c>
      <c r="J27" s="489">
        <v>14850943</v>
      </c>
      <c r="K27" s="489"/>
      <c r="L27" s="490"/>
      <c r="M27" s="490">
        <v>413388301</v>
      </c>
      <c r="N27" s="490">
        <v>8510000</v>
      </c>
      <c r="O27" s="485"/>
      <c r="P27" s="485"/>
      <c r="Q27" s="485"/>
      <c r="R27" s="491">
        <v>358252</v>
      </c>
      <c r="S27" s="484">
        <f t="shared" si="6"/>
        <v>422256553</v>
      </c>
      <c r="T27" s="485">
        <f t="shared" si="7"/>
        <v>3.4003362808339515</v>
      </c>
      <c r="U27" s="500">
        <f t="shared" si="2"/>
        <v>0</v>
      </c>
    </row>
    <row r="28" spans="1:21" s="501" customFormat="1" ht="24" customHeight="1">
      <c r="A28" s="425" t="s">
        <v>454</v>
      </c>
      <c r="B28" s="418" t="s">
        <v>453</v>
      </c>
      <c r="C28" s="488">
        <f t="shared" si="3"/>
        <v>3838704</v>
      </c>
      <c r="D28" s="503">
        <f>405112+463580</f>
        <v>868692</v>
      </c>
      <c r="E28" s="489">
        <v>2970012</v>
      </c>
      <c r="F28" s="489">
        <v>155032</v>
      </c>
      <c r="G28" s="489"/>
      <c r="H28" s="488">
        <f t="shared" si="4"/>
        <v>3683672</v>
      </c>
      <c r="I28" s="488">
        <f t="shared" si="5"/>
        <v>3683672</v>
      </c>
      <c r="J28" s="489">
        <v>1054997</v>
      </c>
      <c r="K28" s="489"/>
      <c r="L28" s="490"/>
      <c r="M28" s="490">
        <v>2628675</v>
      </c>
      <c r="N28" s="490"/>
      <c r="O28" s="485"/>
      <c r="P28" s="485"/>
      <c r="Q28" s="485"/>
      <c r="R28" s="491"/>
      <c r="S28" s="484">
        <f t="shared" si="6"/>
        <v>2628675</v>
      </c>
      <c r="T28" s="485">
        <f t="shared" si="7"/>
        <v>28.63981918042649</v>
      </c>
      <c r="U28" s="500">
        <f t="shared" si="2"/>
        <v>0</v>
      </c>
    </row>
    <row r="29" spans="1:21" s="501" customFormat="1" ht="24" customHeight="1">
      <c r="A29" s="425" t="s">
        <v>456</v>
      </c>
      <c r="B29" s="418" t="s">
        <v>455</v>
      </c>
      <c r="C29" s="488">
        <f t="shared" si="3"/>
        <v>5813720</v>
      </c>
      <c r="D29" s="489">
        <v>116902</v>
      </c>
      <c r="E29" s="489">
        <v>5696818</v>
      </c>
      <c r="F29" s="489">
        <v>1710002</v>
      </c>
      <c r="G29" s="489"/>
      <c r="H29" s="488">
        <f>I29+R29</f>
        <v>4103718</v>
      </c>
      <c r="I29" s="488">
        <f>SUM(J29:Q29)</f>
        <v>4078718</v>
      </c>
      <c r="J29" s="489">
        <v>2486661</v>
      </c>
      <c r="K29" s="489">
        <v>1035579</v>
      </c>
      <c r="L29" s="490"/>
      <c r="M29" s="490">
        <v>556478</v>
      </c>
      <c r="N29" s="485"/>
      <c r="O29" s="485"/>
      <c r="P29" s="485"/>
      <c r="Q29" s="485"/>
      <c r="R29" s="491">
        <v>25000</v>
      </c>
      <c r="S29" s="484">
        <f t="shared" si="6"/>
        <v>581478</v>
      </c>
      <c r="T29" s="485">
        <f t="shared" si="7"/>
        <v>86.35654634618034</v>
      </c>
      <c r="U29" s="500">
        <f t="shared" si="2"/>
        <v>0</v>
      </c>
    </row>
    <row r="30" spans="1:21" s="501" customFormat="1" ht="24" customHeight="1">
      <c r="A30" s="425" t="s">
        <v>557</v>
      </c>
      <c r="B30" s="418" t="s">
        <v>457</v>
      </c>
      <c r="C30" s="488">
        <f t="shared" si="3"/>
        <v>43167339</v>
      </c>
      <c r="D30" s="503">
        <v>31700</v>
      </c>
      <c r="E30" s="489">
        <v>43135639</v>
      </c>
      <c r="F30" s="489">
        <v>4291596</v>
      </c>
      <c r="G30" s="489"/>
      <c r="H30" s="488">
        <f t="shared" si="4"/>
        <v>38875743</v>
      </c>
      <c r="I30" s="488">
        <f t="shared" si="5"/>
        <v>38875743</v>
      </c>
      <c r="J30" s="489">
        <v>195836</v>
      </c>
      <c r="K30" s="489"/>
      <c r="L30" s="490"/>
      <c r="M30" s="490">
        <v>38679907</v>
      </c>
      <c r="N30" s="490"/>
      <c r="O30" s="485"/>
      <c r="P30" s="485"/>
      <c r="Q30" s="485"/>
      <c r="R30" s="491"/>
      <c r="S30" s="484">
        <f t="shared" si="6"/>
        <v>38679907</v>
      </c>
      <c r="T30" s="485">
        <f t="shared" si="7"/>
        <v>0.5037485714420944</v>
      </c>
      <c r="U30" s="500">
        <f t="shared" si="2"/>
        <v>0</v>
      </c>
    </row>
    <row r="31" spans="1:21" s="501" customFormat="1" ht="24" customHeight="1">
      <c r="A31" s="425" t="s">
        <v>558</v>
      </c>
      <c r="B31" s="418" t="s">
        <v>559</v>
      </c>
      <c r="C31" s="488">
        <f t="shared" si="3"/>
        <v>855075</v>
      </c>
      <c r="D31" s="503"/>
      <c r="E31" s="489">
        <v>855075</v>
      </c>
      <c r="F31" s="489">
        <v>7172</v>
      </c>
      <c r="G31" s="489"/>
      <c r="H31" s="488">
        <f t="shared" si="4"/>
        <v>847903</v>
      </c>
      <c r="I31" s="488">
        <f t="shared" si="5"/>
        <v>847903</v>
      </c>
      <c r="J31" s="489">
        <v>43966</v>
      </c>
      <c r="K31" s="489"/>
      <c r="L31" s="490"/>
      <c r="M31" s="490">
        <v>803937</v>
      </c>
      <c r="N31" s="490"/>
      <c r="O31" s="485"/>
      <c r="P31" s="485"/>
      <c r="Q31" s="485"/>
      <c r="R31" s="491"/>
      <c r="S31" s="484">
        <f t="shared" si="6"/>
        <v>803937</v>
      </c>
      <c r="T31" s="485">
        <f t="shared" si="7"/>
        <v>5.185262936916133</v>
      </c>
      <c r="U31" s="500">
        <f t="shared" si="2"/>
        <v>0</v>
      </c>
    </row>
    <row r="32" spans="1:21" s="422" customFormat="1" ht="24" customHeight="1">
      <c r="A32" s="426" t="s">
        <v>1</v>
      </c>
      <c r="B32" s="420" t="s">
        <v>458</v>
      </c>
      <c r="C32" s="481">
        <f aca="true" t="shared" si="8" ref="C32:R32">C33+C38+C43+C47+C50+C59+C64+C72+C76+C80+C90+C93+C96+C108+C111</f>
        <v>2913831946</v>
      </c>
      <c r="D32" s="482">
        <f t="shared" si="8"/>
        <v>1907047827</v>
      </c>
      <c r="E32" s="482">
        <f t="shared" si="8"/>
        <v>1006784119</v>
      </c>
      <c r="F32" s="482">
        <f t="shared" si="8"/>
        <v>80870794</v>
      </c>
      <c r="G32" s="482">
        <f t="shared" si="8"/>
        <v>55593316</v>
      </c>
      <c r="H32" s="481">
        <f t="shared" si="8"/>
        <v>2832961152</v>
      </c>
      <c r="I32" s="481">
        <f t="shared" si="8"/>
        <v>2082884702</v>
      </c>
      <c r="J32" s="482">
        <f t="shared" si="8"/>
        <v>332689158</v>
      </c>
      <c r="K32" s="482">
        <f t="shared" si="8"/>
        <v>74802947</v>
      </c>
      <c r="L32" s="482">
        <f t="shared" si="8"/>
        <v>20821</v>
      </c>
      <c r="M32" s="482">
        <f t="shared" si="8"/>
        <v>1642646019</v>
      </c>
      <c r="N32" s="482">
        <f t="shared" si="8"/>
        <v>7556499</v>
      </c>
      <c r="O32" s="482">
        <f t="shared" si="8"/>
        <v>14117381</v>
      </c>
      <c r="P32" s="482">
        <f t="shared" si="8"/>
        <v>0</v>
      </c>
      <c r="Q32" s="482">
        <f t="shared" si="8"/>
        <v>11051877</v>
      </c>
      <c r="R32" s="481">
        <f t="shared" si="8"/>
        <v>750076450</v>
      </c>
      <c r="S32" s="627">
        <f t="shared" si="6"/>
        <v>2425448226</v>
      </c>
      <c r="T32" s="483">
        <f t="shared" si="7"/>
        <v>19.564833598744247</v>
      </c>
      <c r="U32" s="500">
        <f t="shared" si="2"/>
        <v>0</v>
      </c>
    </row>
    <row r="33" spans="1:21" s="422" customFormat="1" ht="24" customHeight="1">
      <c r="A33" s="429">
        <v>1</v>
      </c>
      <c r="B33" s="421" t="s">
        <v>459</v>
      </c>
      <c r="C33" s="481">
        <f>SUM(D33+E33)</f>
        <v>273187308</v>
      </c>
      <c r="D33" s="482">
        <f>SUM(D34:D37)</f>
        <v>237641300</v>
      </c>
      <c r="E33" s="482">
        <f>SUM(E34:E37)</f>
        <v>35546008</v>
      </c>
      <c r="F33" s="482">
        <f>SUM(F34:F37)</f>
        <v>13170164</v>
      </c>
      <c r="G33" s="482">
        <f>SUM(G34:G37)</f>
        <v>0</v>
      </c>
      <c r="H33" s="481">
        <f>SUM(R33+I33)</f>
        <v>260017144</v>
      </c>
      <c r="I33" s="481">
        <f>SUM(Q33+P33+O33+N33+M33+L33+K33+J33)</f>
        <v>196535615</v>
      </c>
      <c r="J33" s="482">
        <f>SUM(J34:J37)</f>
        <v>9592343</v>
      </c>
      <c r="K33" s="482">
        <f aca="true" t="shared" si="9" ref="K33:R33">SUM(K34:K37)</f>
        <v>7823173</v>
      </c>
      <c r="L33" s="482">
        <f t="shared" si="9"/>
        <v>0</v>
      </c>
      <c r="M33" s="482">
        <f t="shared" si="9"/>
        <v>178420099</v>
      </c>
      <c r="N33" s="482">
        <f t="shared" si="9"/>
        <v>700000</v>
      </c>
      <c r="O33" s="482">
        <f t="shared" si="9"/>
        <v>0</v>
      </c>
      <c r="P33" s="482">
        <f t="shared" si="9"/>
        <v>0</v>
      </c>
      <c r="Q33" s="482">
        <f t="shared" si="9"/>
        <v>0</v>
      </c>
      <c r="R33" s="481">
        <f t="shared" si="9"/>
        <v>63481529</v>
      </c>
      <c r="S33" s="627">
        <f t="shared" si="6"/>
        <v>242601628</v>
      </c>
      <c r="T33" s="483">
        <f t="shared" si="7"/>
        <v>8.861251941537414</v>
      </c>
      <c r="U33" s="500">
        <f t="shared" si="2"/>
        <v>0</v>
      </c>
    </row>
    <row r="34" spans="1:21" s="501" customFormat="1" ht="24" customHeight="1">
      <c r="A34" s="425">
        <v>1.1</v>
      </c>
      <c r="B34" s="504" t="s">
        <v>460</v>
      </c>
      <c r="C34" s="607">
        <f>SUM(D34+E34)</f>
        <v>133900149</v>
      </c>
      <c r="D34" s="489">
        <v>120533207</v>
      </c>
      <c r="E34" s="489">
        <v>13366942</v>
      </c>
      <c r="F34" s="489">
        <v>41372</v>
      </c>
      <c r="G34" s="489">
        <v>0</v>
      </c>
      <c r="H34" s="607">
        <f>SUM(R34+I34)</f>
        <v>133858777</v>
      </c>
      <c r="I34" s="607">
        <f>SUM(Q34+P34+O34+N34+M34+L34+K34+J34)</f>
        <v>133420104</v>
      </c>
      <c r="J34" s="489">
        <v>1225767</v>
      </c>
      <c r="K34" s="489">
        <v>6996</v>
      </c>
      <c r="L34" s="489">
        <v>0</v>
      </c>
      <c r="M34" s="489">
        <v>132187341</v>
      </c>
      <c r="N34" s="489">
        <v>0</v>
      </c>
      <c r="O34" s="489">
        <v>0</v>
      </c>
      <c r="P34" s="489">
        <v>0</v>
      </c>
      <c r="Q34" s="489">
        <v>0</v>
      </c>
      <c r="R34" s="488">
        <v>438673</v>
      </c>
      <c r="S34" s="484">
        <f t="shared" si="6"/>
        <v>132626014</v>
      </c>
      <c r="T34" s="485">
        <f t="shared" si="7"/>
        <v>0.9239709481863393</v>
      </c>
      <c r="U34" s="500">
        <f t="shared" si="2"/>
        <v>0</v>
      </c>
    </row>
    <row r="35" spans="1:21" s="501" customFormat="1" ht="24" customHeight="1">
      <c r="A35" s="425">
        <v>1.2</v>
      </c>
      <c r="B35" s="504" t="s">
        <v>561</v>
      </c>
      <c r="C35" s="607">
        <f>SUM(D35+E35)</f>
        <v>66633045</v>
      </c>
      <c r="D35" s="489">
        <v>64177506</v>
      </c>
      <c r="E35" s="489">
        <v>2455539</v>
      </c>
      <c r="F35" s="489">
        <v>10260722</v>
      </c>
      <c r="G35" s="489"/>
      <c r="H35" s="607">
        <f>SUM(R35+I35)</f>
        <v>56372323</v>
      </c>
      <c r="I35" s="607">
        <f>SUM(Q35+P35+O35+N35+M35+L35+K35+J35)</f>
        <v>13495781</v>
      </c>
      <c r="J35" s="489">
        <f>550770+920000</f>
        <v>1470770</v>
      </c>
      <c r="K35" s="489">
        <v>76070</v>
      </c>
      <c r="L35" s="489"/>
      <c r="M35" s="489">
        <f>12868941-920000</f>
        <v>11948941</v>
      </c>
      <c r="N35" s="489">
        <v>0</v>
      </c>
      <c r="O35" s="489"/>
      <c r="P35" s="489"/>
      <c r="Q35" s="489">
        <v>0</v>
      </c>
      <c r="R35" s="488">
        <v>42876542</v>
      </c>
      <c r="S35" s="484">
        <f t="shared" si="6"/>
        <v>54825483</v>
      </c>
      <c r="T35" s="485">
        <f t="shared" si="7"/>
        <v>11.46165605384379</v>
      </c>
      <c r="U35" s="500">
        <f t="shared" si="2"/>
        <v>0</v>
      </c>
    </row>
    <row r="36" spans="1:21" s="501" customFormat="1" ht="24" customHeight="1">
      <c r="A36" s="425">
        <v>1.3</v>
      </c>
      <c r="B36" s="504" t="s">
        <v>461</v>
      </c>
      <c r="C36" s="607">
        <f>SUM(D36+E36)</f>
        <v>58386554</v>
      </c>
      <c r="D36" s="489">
        <v>43656110</v>
      </c>
      <c r="E36" s="489">
        <v>14730444</v>
      </c>
      <c r="F36" s="489">
        <v>1901250</v>
      </c>
      <c r="G36" s="489"/>
      <c r="H36" s="607">
        <f>SUM(R36+I36)</f>
        <v>56485304</v>
      </c>
      <c r="I36" s="607">
        <f>SUM(Q36+P36+O36+N36+M36+L36+K36+J36)</f>
        <v>43944485</v>
      </c>
      <c r="J36" s="489">
        <v>6046344</v>
      </c>
      <c r="K36" s="489">
        <v>7705553</v>
      </c>
      <c r="L36" s="489"/>
      <c r="M36" s="489">
        <v>29492588</v>
      </c>
      <c r="N36" s="489">
        <v>700000</v>
      </c>
      <c r="O36" s="489"/>
      <c r="P36" s="489"/>
      <c r="Q36" s="489"/>
      <c r="R36" s="488">
        <v>12540819</v>
      </c>
      <c r="S36" s="484">
        <f t="shared" si="6"/>
        <v>42733407</v>
      </c>
      <c r="T36" s="485">
        <f t="shared" si="7"/>
        <v>31.293794886889675</v>
      </c>
      <c r="U36" s="500">
        <f t="shared" si="2"/>
        <v>0</v>
      </c>
    </row>
    <row r="37" spans="1:21" s="501" customFormat="1" ht="24" customHeight="1">
      <c r="A37" s="425">
        <v>1.4</v>
      </c>
      <c r="B37" s="504" t="s">
        <v>562</v>
      </c>
      <c r="C37" s="607">
        <f>SUM(D37+E37)</f>
        <v>14267560</v>
      </c>
      <c r="D37" s="489">
        <v>9274477</v>
      </c>
      <c r="E37" s="489">
        <v>4993083</v>
      </c>
      <c r="F37" s="489">
        <v>966820</v>
      </c>
      <c r="G37" s="489"/>
      <c r="H37" s="607">
        <f>SUM(R37+I37)</f>
        <v>13300740</v>
      </c>
      <c r="I37" s="607">
        <f>SUM(Q37+P37+O37+N37+M37+L37+K37+J37)</f>
        <v>5675245</v>
      </c>
      <c r="J37" s="489">
        <v>849462</v>
      </c>
      <c r="K37" s="489">
        <v>34554</v>
      </c>
      <c r="L37" s="489"/>
      <c r="M37" s="489">
        <v>4791229</v>
      </c>
      <c r="N37" s="489">
        <v>0</v>
      </c>
      <c r="O37" s="489"/>
      <c r="P37" s="489"/>
      <c r="Q37" s="489">
        <v>0</v>
      </c>
      <c r="R37" s="488">
        <v>7625495</v>
      </c>
      <c r="S37" s="484">
        <f t="shared" si="6"/>
        <v>12416724</v>
      </c>
      <c r="T37" s="485">
        <f t="shared" si="7"/>
        <v>15.576701974980816</v>
      </c>
      <c r="U37" s="500">
        <f t="shared" si="2"/>
        <v>0</v>
      </c>
    </row>
    <row r="38" spans="1:21" s="422" customFormat="1" ht="24" customHeight="1">
      <c r="A38" s="428">
        <v>2</v>
      </c>
      <c r="B38" s="421" t="s">
        <v>462</v>
      </c>
      <c r="C38" s="481">
        <f>D38+E38</f>
        <v>65135749</v>
      </c>
      <c r="D38" s="482">
        <f>D39+D40+D41+D42</f>
        <v>10199630</v>
      </c>
      <c r="E38" s="482">
        <f>E39+E40+E41+E42</f>
        <v>54936119</v>
      </c>
      <c r="F38" s="482">
        <f>F39+F40+F41+F42</f>
        <v>64280</v>
      </c>
      <c r="G38" s="482">
        <f>G39+G40+G41+G42</f>
        <v>0</v>
      </c>
      <c r="H38" s="481">
        <f>I38+R38</f>
        <v>65071469</v>
      </c>
      <c r="I38" s="481">
        <f>Q38+P38+O38+N38+M38+L38+K38+J38</f>
        <v>62239645</v>
      </c>
      <c r="J38" s="482">
        <f>J39+J40+J41+J42</f>
        <v>1198536</v>
      </c>
      <c r="K38" s="482">
        <f aca="true" t="shared" si="10" ref="K38:R38">K39+K40+K41+K42</f>
        <v>845780</v>
      </c>
      <c r="L38" s="482">
        <f t="shared" si="10"/>
        <v>16083</v>
      </c>
      <c r="M38" s="482">
        <f t="shared" si="10"/>
        <v>60179246</v>
      </c>
      <c r="N38" s="482">
        <f t="shared" si="10"/>
        <v>0</v>
      </c>
      <c r="O38" s="482">
        <f t="shared" si="10"/>
        <v>0</v>
      </c>
      <c r="P38" s="482">
        <f t="shared" si="10"/>
        <v>0</v>
      </c>
      <c r="Q38" s="482">
        <f t="shared" si="10"/>
        <v>0</v>
      </c>
      <c r="R38" s="481">
        <f t="shared" si="10"/>
        <v>2831824</v>
      </c>
      <c r="S38" s="627">
        <f t="shared" si="6"/>
        <v>63011070</v>
      </c>
      <c r="T38" s="483">
        <f t="shared" si="7"/>
        <v>3.3104285861527654</v>
      </c>
      <c r="U38" s="500">
        <f t="shared" si="2"/>
        <v>0</v>
      </c>
    </row>
    <row r="39" spans="1:21" s="501" customFormat="1" ht="24" customHeight="1">
      <c r="A39" s="425">
        <v>2.1</v>
      </c>
      <c r="B39" s="418" t="s">
        <v>463</v>
      </c>
      <c r="C39" s="608">
        <f>D39+E39</f>
        <v>1801948</v>
      </c>
      <c r="D39" s="505">
        <f>541141+27700</f>
        <v>568841</v>
      </c>
      <c r="E39" s="505">
        <v>1233107</v>
      </c>
      <c r="F39" s="505">
        <v>44280</v>
      </c>
      <c r="G39" s="505"/>
      <c r="H39" s="608">
        <f>I39+R39</f>
        <v>1757668</v>
      </c>
      <c r="I39" s="608">
        <f aca="true" t="shared" si="11" ref="I39:I46">J39+K39+L39+M39+N39+O39+P39+Q39</f>
        <v>1517643</v>
      </c>
      <c r="J39" s="505">
        <v>619806</v>
      </c>
      <c r="K39" s="505">
        <v>670060</v>
      </c>
      <c r="L39" s="505"/>
      <c r="M39" s="505">
        <v>227777</v>
      </c>
      <c r="N39" s="505"/>
      <c r="O39" s="505"/>
      <c r="P39" s="505"/>
      <c r="Q39" s="506"/>
      <c r="R39" s="619">
        <v>240025</v>
      </c>
      <c r="S39" s="484">
        <f t="shared" si="6"/>
        <v>467802</v>
      </c>
      <c r="T39" s="485">
        <f t="shared" si="7"/>
        <v>84.9913978452113</v>
      </c>
      <c r="U39" s="500">
        <f t="shared" si="2"/>
        <v>0</v>
      </c>
    </row>
    <row r="40" spans="1:21" s="501" customFormat="1" ht="24" customHeight="1">
      <c r="A40" s="425">
        <v>2.2</v>
      </c>
      <c r="B40" s="418" t="s">
        <v>464</v>
      </c>
      <c r="C40" s="608">
        <f>D40+E40</f>
        <v>11217411</v>
      </c>
      <c r="D40" s="505">
        <v>6661690</v>
      </c>
      <c r="E40" s="505">
        <v>4555721</v>
      </c>
      <c r="F40" s="505">
        <v>20000</v>
      </c>
      <c r="G40" s="505"/>
      <c r="H40" s="608">
        <f>I40+R40</f>
        <v>11197411</v>
      </c>
      <c r="I40" s="608">
        <f t="shared" si="11"/>
        <v>10182523</v>
      </c>
      <c r="J40" s="505">
        <v>368735</v>
      </c>
      <c r="K40" s="505">
        <v>39830</v>
      </c>
      <c r="L40" s="505">
        <v>6433</v>
      </c>
      <c r="M40" s="505">
        <v>9767525</v>
      </c>
      <c r="N40" s="505"/>
      <c r="O40" s="505"/>
      <c r="P40" s="505"/>
      <c r="Q40" s="506"/>
      <c r="R40" s="619">
        <v>1014888</v>
      </c>
      <c r="S40" s="484">
        <f t="shared" si="6"/>
        <v>10782413</v>
      </c>
      <c r="T40" s="485">
        <f t="shared" si="7"/>
        <v>4.075591088770436</v>
      </c>
      <c r="U40" s="500">
        <f t="shared" si="2"/>
        <v>0</v>
      </c>
    </row>
    <row r="41" spans="1:21" s="501" customFormat="1" ht="24" customHeight="1">
      <c r="A41" s="425">
        <v>2.3</v>
      </c>
      <c r="B41" s="418" t="s">
        <v>465</v>
      </c>
      <c r="C41" s="608">
        <f>D41+E41</f>
        <v>52116390</v>
      </c>
      <c r="D41" s="505">
        <v>2969099</v>
      </c>
      <c r="E41" s="505">
        <v>49147291</v>
      </c>
      <c r="F41" s="505"/>
      <c r="G41" s="505"/>
      <c r="H41" s="608">
        <f>I41+R41</f>
        <v>52116390</v>
      </c>
      <c r="I41" s="608">
        <f t="shared" si="11"/>
        <v>50539479</v>
      </c>
      <c r="J41" s="505">
        <v>209995</v>
      </c>
      <c r="K41" s="505">
        <v>135890</v>
      </c>
      <c r="L41" s="505">
        <v>9650</v>
      </c>
      <c r="M41" s="505">
        <v>50183944</v>
      </c>
      <c r="N41" s="505"/>
      <c r="O41" s="505"/>
      <c r="P41" s="505"/>
      <c r="Q41" s="506">
        <v>0</v>
      </c>
      <c r="R41" s="619">
        <v>1576911</v>
      </c>
      <c r="S41" s="484">
        <f t="shared" si="6"/>
        <v>51760855</v>
      </c>
      <c r="T41" s="485">
        <f t="shared" si="7"/>
        <v>0.7034797489701071</v>
      </c>
      <c r="U41" s="500">
        <f t="shared" si="2"/>
        <v>0</v>
      </c>
    </row>
    <row r="42" spans="1:21" s="501" customFormat="1" ht="24" customHeight="1">
      <c r="A42" s="425">
        <v>2.4</v>
      </c>
      <c r="B42" s="418" t="s">
        <v>466</v>
      </c>
      <c r="C42" s="608">
        <v>0</v>
      </c>
      <c r="D42" s="505">
        <v>0</v>
      </c>
      <c r="E42" s="505">
        <v>0</v>
      </c>
      <c r="F42" s="505">
        <v>0</v>
      </c>
      <c r="G42" s="505"/>
      <c r="H42" s="608">
        <f>I42+R42</f>
        <v>0</v>
      </c>
      <c r="I42" s="608">
        <f t="shared" si="11"/>
        <v>0</v>
      </c>
      <c r="J42" s="505">
        <v>0</v>
      </c>
      <c r="K42" s="505">
        <v>0</v>
      </c>
      <c r="L42" s="505"/>
      <c r="M42" s="505">
        <v>0</v>
      </c>
      <c r="N42" s="505"/>
      <c r="O42" s="505"/>
      <c r="P42" s="505"/>
      <c r="Q42" s="506"/>
      <c r="R42" s="619">
        <v>0</v>
      </c>
      <c r="S42" s="484">
        <f t="shared" si="6"/>
        <v>0</v>
      </c>
      <c r="T42" s="485" t="e">
        <f t="shared" si="7"/>
        <v>#DIV/0!</v>
      </c>
      <c r="U42" s="500">
        <f t="shared" si="2"/>
        <v>0</v>
      </c>
    </row>
    <row r="43" spans="1:21" s="422" customFormat="1" ht="24" customHeight="1">
      <c r="A43" s="428">
        <v>3</v>
      </c>
      <c r="B43" s="421" t="s">
        <v>467</v>
      </c>
      <c r="C43" s="486">
        <f>C44+C45+C46</f>
        <v>33234187</v>
      </c>
      <c r="D43" s="487">
        <f aca="true" t="shared" si="12" ref="D43:R43">D44+D45+D46</f>
        <v>31349167</v>
      </c>
      <c r="E43" s="487">
        <f>E44+E45+E46</f>
        <v>1885020</v>
      </c>
      <c r="F43" s="487">
        <f t="shared" si="12"/>
        <v>136986</v>
      </c>
      <c r="G43" s="487">
        <f t="shared" si="12"/>
        <v>0</v>
      </c>
      <c r="H43" s="486">
        <f aca="true" t="shared" si="13" ref="H43:H49">I43+R43</f>
        <v>33097201</v>
      </c>
      <c r="I43" s="486">
        <f t="shared" si="11"/>
        <v>31432755</v>
      </c>
      <c r="J43" s="487">
        <f t="shared" si="12"/>
        <v>1903351</v>
      </c>
      <c r="K43" s="487">
        <f t="shared" si="12"/>
        <v>132626</v>
      </c>
      <c r="L43" s="487">
        <f t="shared" si="12"/>
        <v>0</v>
      </c>
      <c r="M43" s="487">
        <f t="shared" si="12"/>
        <v>19672485</v>
      </c>
      <c r="N43" s="487">
        <f t="shared" si="12"/>
        <v>0</v>
      </c>
      <c r="O43" s="487">
        <f t="shared" si="12"/>
        <v>9651181</v>
      </c>
      <c r="P43" s="487">
        <f t="shared" si="12"/>
        <v>0</v>
      </c>
      <c r="Q43" s="487">
        <f t="shared" si="12"/>
        <v>73112</v>
      </c>
      <c r="R43" s="486">
        <f t="shared" si="12"/>
        <v>1664446</v>
      </c>
      <c r="S43" s="627">
        <f t="shared" si="6"/>
        <v>31061224</v>
      </c>
      <c r="T43" s="483">
        <f t="shared" si="7"/>
        <v>6.477246426538176</v>
      </c>
      <c r="U43" s="500">
        <f t="shared" si="2"/>
        <v>0</v>
      </c>
    </row>
    <row r="44" spans="1:21" s="501" customFormat="1" ht="24" customHeight="1">
      <c r="A44" s="425">
        <v>3.1</v>
      </c>
      <c r="B44" s="418" t="s">
        <v>468</v>
      </c>
      <c r="C44" s="609">
        <f aca="true" t="shared" si="14" ref="C44:C49">D44+E44</f>
        <v>9547634</v>
      </c>
      <c r="D44" s="507">
        <v>9447774</v>
      </c>
      <c r="E44" s="507">
        <v>99860</v>
      </c>
      <c r="F44" s="507">
        <v>10182</v>
      </c>
      <c r="G44" s="507"/>
      <c r="H44" s="617">
        <f>I44+R44</f>
        <v>9537452</v>
      </c>
      <c r="I44" s="617">
        <f t="shared" si="11"/>
        <v>9475652</v>
      </c>
      <c r="J44" s="507">
        <v>71230</v>
      </c>
      <c r="K44" s="507">
        <v>14600</v>
      </c>
      <c r="L44" s="507"/>
      <c r="M44" s="507">
        <v>9316710</v>
      </c>
      <c r="N44" s="507"/>
      <c r="O44" s="507"/>
      <c r="P44" s="507"/>
      <c r="Q44" s="507">
        <v>73112</v>
      </c>
      <c r="R44" s="620">
        <v>61800</v>
      </c>
      <c r="S44" s="484">
        <f t="shared" si="6"/>
        <v>9451622</v>
      </c>
      <c r="T44" s="485">
        <f t="shared" si="7"/>
        <v>0.9057951896080607</v>
      </c>
      <c r="U44" s="500">
        <f t="shared" si="2"/>
        <v>0</v>
      </c>
    </row>
    <row r="45" spans="1:21" s="501" customFormat="1" ht="24" customHeight="1">
      <c r="A45" s="425">
        <v>3.2</v>
      </c>
      <c r="B45" s="418" t="s">
        <v>469</v>
      </c>
      <c r="C45" s="609">
        <f t="shared" si="14"/>
        <v>9723527</v>
      </c>
      <c r="D45" s="507">
        <f>8744266+54800</f>
        <v>8799066</v>
      </c>
      <c r="E45" s="507">
        <v>924461</v>
      </c>
      <c r="F45" s="507">
        <v>126804</v>
      </c>
      <c r="G45" s="507"/>
      <c r="H45" s="617">
        <f>I45+R45</f>
        <v>9596723</v>
      </c>
      <c r="I45" s="617">
        <f t="shared" si="11"/>
        <v>8693127</v>
      </c>
      <c r="J45" s="507">
        <f>1737491</f>
        <v>1737491</v>
      </c>
      <c r="K45" s="507">
        <v>36339</v>
      </c>
      <c r="L45" s="507"/>
      <c r="M45" s="507">
        <v>6919297</v>
      </c>
      <c r="N45" s="507"/>
      <c r="O45" s="507"/>
      <c r="P45" s="507"/>
      <c r="Q45" s="507"/>
      <c r="R45" s="620">
        <v>903596</v>
      </c>
      <c r="S45" s="484">
        <f t="shared" si="6"/>
        <v>7822893</v>
      </c>
      <c r="T45" s="485">
        <f t="shared" si="7"/>
        <v>20.404970501408755</v>
      </c>
      <c r="U45" s="500">
        <f t="shared" si="2"/>
        <v>0</v>
      </c>
    </row>
    <row r="46" spans="1:21" s="501" customFormat="1" ht="24" customHeight="1">
      <c r="A46" s="425">
        <v>3.3</v>
      </c>
      <c r="B46" s="418" t="s">
        <v>470</v>
      </c>
      <c r="C46" s="609">
        <f t="shared" si="14"/>
        <v>13963026</v>
      </c>
      <c r="D46" s="507">
        <v>13102327</v>
      </c>
      <c r="E46" s="507">
        <v>860699</v>
      </c>
      <c r="F46" s="507"/>
      <c r="G46" s="507"/>
      <c r="H46" s="617">
        <f>I46+R46</f>
        <v>13963026</v>
      </c>
      <c r="I46" s="617">
        <f t="shared" si="11"/>
        <v>13263976</v>
      </c>
      <c r="J46" s="507">
        <f>67630+27000</f>
        <v>94630</v>
      </c>
      <c r="K46" s="507">
        <v>81687</v>
      </c>
      <c r="L46" s="507">
        <v>0</v>
      </c>
      <c r="M46" s="507">
        <f>3463478-27000</f>
        <v>3436478</v>
      </c>
      <c r="N46" s="507"/>
      <c r="O46" s="507">
        <v>9651181</v>
      </c>
      <c r="P46" s="507"/>
      <c r="Q46" s="507">
        <v>0</v>
      </c>
      <c r="R46" s="620">
        <v>699050</v>
      </c>
      <c r="S46" s="484">
        <f t="shared" si="6"/>
        <v>13786709</v>
      </c>
      <c r="T46" s="485">
        <f t="shared" si="7"/>
        <v>1.3292922122295758</v>
      </c>
      <c r="U46" s="500">
        <f t="shared" si="2"/>
        <v>0</v>
      </c>
    </row>
    <row r="47" spans="1:21" s="422" customFormat="1" ht="24" customHeight="1">
      <c r="A47" s="428">
        <v>4</v>
      </c>
      <c r="B47" s="421" t="s">
        <v>471</v>
      </c>
      <c r="C47" s="481">
        <f t="shared" si="14"/>
        <v>600</v>
      </c>
      <c r="D47" s="482">
        <f aca="true" t="shared" si="15" ref="D47:R47">D48+D49</f>
        <v>0</v>
      </c>
      <c r="E47" s="482">
        <f t="shared" si="15"/>
        <v>600</v>
      </c>
      <c r="F47" s="482">
        <f t="shared" si="15"/>
        <v>0</v>
      </c>
      <c r="G47" s="482">
        <f t="shared" si="15"/>
        <v>0</v>
      </c>
      <c r="H47" s="481">
        <f t="shared" si="13"/>
        <v>600</v>
      </c>
      <c r="I47" s="481">
        <f>SUM(J47:Q47)</f>
        <v>600</v>
      </c>
      <c r="J47" s="482">
        <f t="shared" si="15"/>
        <v>600</v>
      </c>
      <c r="K47" s="482">
        <f t="shared" si="15"/>
        <v>0</v>
      </c>
      <c r="L47" s="482">
        <f t="shared" si="15"/>
        <v>0</v>
      </c>
      <c r="M47" s="482">
        <f t="shared" si="15"/>
        <v>0</v>
      </c>
      <c r="N47" s="482">
        <f t="shared" si="15"/>
        <v>0</v>
      </c>
      <c r="O47" s="482">
        <f t="shared" si="15"/>
        <v>0</v>
      </c>
      <c r="P47" s="482">
        <f t="shared" si="15"/>
        <v>0</v>
      </c>
      <c r="Q47" s="482">
        <f t="shared" si="15"/>
        <v>0</v>
      </c>
      <c r="R47" s="481">
        <f t="shared" si="15"/>
        <v>0</v>
      </c>
      <c r="S47" s="627">
        <f t="shared" si="6"/>
        <v>0</v>
      </c>
      <c r="T47" s="483">
        <f t="shared" si="7"/>
        <v>100</v>
      </c>
      <c r="U47" s="500">
        <f t="shared" si="2"/>
        <v>0</v>
      </c>
    </row>
    <row r="48" spans="1:21" s="501" customFormat="1" ht="24" customHeight="1">
      <c r="A48" s="425">
        <v>1</v>
      </c>
      <c r="B48" s="419" t="s">
        <v>472</v>
      </c>
      <c r="C48" s="488">
        <f t="shared" si="14"/>
        <v>0</v>
      </c>
      <c r="D48" s="489"/>
      <c r="E48" s="489"/>
      <c r="F48" s="489"/>
      <c r="G48" s="489"/>
      <c r="H48" s="488">
        <f t="shared" si="13"/>
        <v>0</v>
      </c>
      <c r="I48" s="488">
        <f>SUM(J48:Q48)</f>
        <v>0</v>
      </c>
      <c r="J48" s="489"/>
      <c r="K48" s="489"/>
      <c r="L48" s="490"/>
      <c r="M48" s="490"/>
      <c r="N48" s="490"/>
      <c r="O48" s="485"/>
      <c r="P48" s="485"/>
      <c r="Q48" s="485"/>
      <c r="R48" s="491"/>
      <c r="S48" s="484">
        <f t="shared" si="6"/>
        <v>0</v>
      </c>
      <c r="T48" s="485" t="e">
        <f t="shared" si="7"/>
        <v>#DIV/0!</v>
      </c>
      <c r="U48" s="500">
        <f t="shared" si="2"/>
        <v>0</v>
      </c>
    </row>
    <row r="49" spans="1:21" s="501" customFormat="1" ht="24" customHeight="1">
      <c r="A49" s="425">
        <v>2</v>
      </c>
      <c r="B49" s="419" t="s">
        <v>473</v>
      </c>
      <c r="C49" s="488">
        <f t="shared" si="14"/>
        <v>600</v>
      </c>
      <c r="D49" s="489">
        <v>0</v>
      </c>
      <c r="E49" s="489">
        <v>600</v>
      </c>
      <c r="F49" s="489"/>
      <c r="G49" s="489"/>
      <c r="H49" s="488">
        <f t="shared" si="13"/>
        <v>600</v>
      </c>
      <c r="I49" s="488">
        <f>SUM(J49:Q49)</f>
        <v>600</v>
      </c>
      <c r="J49" s="489">
        <v>600</v>
      </c>
      <c r="K49" s="489"/>
      <c r="L49" s="490"/>
      <c r="M49" s="490"/>
      <c r="N49" s="490"/>
      <c r="O49" s="485"/>
      <c r="P49" s="485"/>
      <c r="Q49" s="485"/>
      <c r="R49" s="491"/>
      <c r="S49" s="484">
        <f t="shared" si="6"/>
        <v>0</v>
      </c>
      <c r="T49" s="485">
        <f t="shared" si="7"/>
        <v>100</v>
      </c>
      <c r="U49" s="500">
        <f t="shared" si="2"/>
        <v>0</v>
      </c>
    </row>
    <row r="50" spans="1:21" s="422" customFormat="1" ht="24" customHeight="1">
      <c r="A50" s="428">
        <v>5</v>
      </c>
      <c r="B50" s="421" t="s">
        <v>474</v>
      </c>
      <c r="C50" s="492">
        <f>D50+E50</f>
        <v>419695465</v>
      </c>
      <c r="D50" s="493">
        <f>SUM(D51:D58)</f>
        <v>202679641</v>
      </c>
      <c r="E50" s="493">
        <f>SUM(E51:E58)</f>
        <v>217015824</v>
      </c>
      <c r="F50" s="493">
        <f>SUM(F51:F58)</f>
        <v>3329883</v>
      </c>
      <c r="G50" s="493">
        <f aca="true" t="shared" si="16" ref="G50:R50">SUM(G51:G58)</f>
        <v>13954715</v>
      </c>
      <c r="H50" s="492">
        <f>SUM(H51:H58)</f>
        <v>416365582</v>
      </c>
      <c r="I50" s="492">
        <f>SUM(I51:I58)</f>
        <v>328278232</v>
      </c>
      <c r="J50" s="493">
        <f t="shared" si="16"/>
        <v>29069081</v>
      </c>
      <c r="K50" s="493">
        <f t="shared" si="16"/>
        <v>1826452</v>
      </c>
      <c r="L50" s="493">
        <f t="shared" si="16"/>
        <v>0</v>
      </c>
      <c r="M50" s="493">
        <f>SUM(M51:M58)</f>
        <v>297382699</v>
      </c>
      <c r="N50" s="493">
        <f t="shared" si="16"/>
        <v>0</v>
      </c>
      <c r="O50" s="493">
        <f t="shared" si="16"/>
        <v>0</v>
      </c>
      <c r="P50" s="493">
        <f t="shared" si="16"/>
        <v>0</v>
      </c>
      <c r="Q50" s="493">
        <f t="shared" si="16"/>
        <v>0</v>
      </c>
      <c r="R50" s="492">
        <f t="shared" si="16"/>
        <v>88087350</v>
      </c>
      <c r="S50" s="627">
        <f t="shared" si="6"/>
        <v>385470049</v>
      </c>
      <c r="T50" s="483">
        <f t="shared" si="7"/>
        <v>9.411386436369012</v>
      </c>
      <c r="U50" s="500">
        <f t="shared" si="2"/>
        <v>0</v>
      </c>
    </row>
    <row r="51" spans="1:21" s="501" customFormat="1" ht="24" customHeight="1">
      <c r="A51" s="425" t="s">
        <v>111</v>
      </c>
      <c r="B51" s="508" t="s">
        <v>475</v>
      </c>
      <c r="C51" s="610">
        <f>D51+E51</f>
        <v>6314029</v>
      </c>
      <c r="D51" s="510">
        <v>6202029</v>
      </c>
      <c r="E51" s="509">
        <f>800+200+50000+10000+51000</f>
        <v>112000</v>
      </c>
      <c r="F51" s="509">
        <v>415753</v>
      </c>
      <c r="G51" s="509">
        <v>0</v>
      </c>
      <c r="H51" s="610">
        <f>I51+R51</f>
        <v>5898276</v>
      </c>
      <c r="I51" s="610">
        <f aca="true" t="shared" si="17" ref="I51:I58">J51+K51+L51+M51+N51+O51+P51+Q51</f>
        <v>5898276</v>
      </c>
      <c r="J51" s="509">
        <f>1000+50000+3000+5000+2734500</f>
        <v>2793500</v>
      </c>
      <c r="K51" s="509">
        <v>0</v>
      </c>
      <c r="L51" s="509">
        <v>0</v>
      </c>
      <c r="M51" s="511">
        <v>3104776</v>
      </c>
      <c r="N51" s="509">
        <v>0</v>
      </c>
      <c r="O51" s="509">
        <v>0</v>
      </c>
      <c r="P51" s="509">
        <v>0</v>
      </c>
      <c r="Q51" s="512">
        <v>0</v>
      </c>
      <c r="R51" s="621">
        <f>C51-F51-I51</f>
        <v>0</v>
      </c>
      <c r="S51" s="484">
        <f t="shared" si="6"/>
        <v>3104776</v>
      </c>
      <c r="T51" s="485">
        <f t="shared" si="7"/>
        <v>47.36129675857827</v>
      </c>
      <c r="U51" s="500">
        <f t="shared" si="2"/>
        <v>0</v>
      </c>
    </row>
    <row r="52" spans="1:21" s="501" customFormat="1" ht="24" customHeight="1">
      <c r="A52" s="425" t="s">
        <v>112</v>
      </c>
      <c r="B52" s="508" t="s">
        <v>476</v>
      </c>
      <c r="C52" s="610">
        <f>D52+E52</f>
        <v>293325070</v>
      </c>
      <c r="D52" s="510">
        <v>98830097</v>
      </c>
      <c r="E52" s="509">
        <f>38917772+(155313887+263314)</f>
        <v>194494973</v>
      </c>
      <c r="F52" s="509">
        <v>1600</v>
      </c>
      <c r="G52" s="509">
        <f>121833+13832882</f>
        <v>13954715</v>
      </c>
      <c r="H52" s="610">
        <f aca="true" t="shared" si="18" ref="H52:H57">I52+R52</f>
        <v>293323470</v>
      </c>
      <c r="I52" s="610">
        <f t="shared" si="17"/>
        <v>225922249</v>
      </c>
      <c r="J52" s="509">
        <f>(950000+15100+180220)+4843700+2450000+3210000+1200+5000+600+60000+3000+10000+950000</f>
        <v>12678820</v>
      </c>
      <c r="K52" s="509">
        <f>1267654+20100</f>
        <v>1287754</v>
      </c>
      <c r="L52" s="509">
        <v>0</v>
      </c>
      <c r="M52" s="511">
        <f>56378474+(155313887+263314)</f>
        <v>211955675</v>
      </c>
      <c r="N52" s="509">
        <v>0</v>
      </c>
      <c r="O52" s="509">
        <v>0</v>
      </c>
      <c r="P52" s="509">
        <v>0</v>
      </c>
      <c r="Q52" s="512">
        <v>0</v>
      </c>
      <c r="R52" s="621">
        <f aca="true" t="shared" si="19" ref="R52:R58">C52-F52-I52</f>
        <v>67401221</v>
      </c>
      <c r="S52" s="484">
        <f t="shared" si="6"/>
        <v>279356896</v>
      </c>
      <c r="T52" s="485">
        <f t="shared" si="7"/>
        <v>6.1820268087009</v>
      </c>
      <c r="U52" s="500">
        <f t="shared" si="2"/>
        <v>0</v>
      </c>
    </row>
    <row r="53" spans="1:21" s="501" customFormat="1" ht="24" customHeight="1">
      <c r="A53" s="425" t="s">
        <v>113</v>
      </c>
      <c r="B53" s="508" t="s">
        <v>477</v>
      </c>
      <c r="C53" s="610">
        <f aca="true" t="shared" si="20" ref="C53:C58">D53+E53</f>
        <v>26450526</v>
      </c>
      <c r="D53" s="510">
        <v>21752760</v>
      </c>
      <c r="E53" s="509">
        <v>4697766</v>
      </c>
      <c r="F53" s="509">
        <v>855945</v>
      </c>
      <c r="G53" s="509">
        <v>0</v>
      </c>
      <c r="H53" s="610">
        <f t="shared" si="18"/>
        <v>25594581</v>
      </c>
      <c r="I53" s="610">
        <f t="shared" si="17"/>
        <v>24315303</v>
      </c>
      <c r="J53" s="509">
        <v>11447413</v>
      </c>
      <c r="K53" s="509">
        <v>510431</v>
      </c>
      <c r="L53" s="509">
        <v>0</v>
      </c>
      <c r="M53" s="511">
        <v>12357459</v>
      </c>
      <c r="N53" s="509">
        <v>0</v>
      </c>
      <c r="O53" s="509">
        <v>0</v>
      </c>
      <c r="P53" s="509">
        <v>0</v>
      </c>
      <c r="Q53" s="512">
        <v>0</v>
      </c>
      <c r="R53" s="621">
        <f t="shared" si="19"/>
        <v>1279278</v>
      </c>
      <c r="S53" s="484">
        <f t="shared" si="6"/>
        <v>13636737</v>
      </c>
      <c r="T53" s="485">
        <f t="shared" si="7"/>
        <v>49.17826440410798</v>
      </c>
      <c r="U53" s="500">
        <f t="shared" si="2"/>
        <v>0</v>
      </c>
    </row>
    <row r="54" spans="1:21" s="501" customFormat="1" ht="24" customHeight="1">
      <c r="A54" s="425" t="s">
        <v>478</v>
      </c>
      <c r="B54" s="508" t="s">
        <v>479</v>
      </c>
      <c r="C54" s="610">
        <f t="shared" si="20"/>
        <v>16506738</v>
      </c>
      <c r="D54" s="510">
        <v>15603720</v>
      </c>
      <c r="E54" s="509">
        <v>903018</v>
      </c>
      <c r="F54" s="509">
        <v>76551</v>
      </c>
      <c r="G54" s="509">
        <v>0</v>
      </c>
      <c r="H54" s="610">
        <f t="shared" si="18"/>
        <v>16430187</v>
      </c>
      <c r="I54" s="610">
        <f t="shared" si="17"/>
        <v>13785514</v>
      </c>
      <c r="J54" s="509">
        <v>336834</v>
      </c>
      <c r="K54" s="509">
        <v>5050</v>
      </c>
      <c r="L54" s="509">
        <v>0</v>
      </c>
      <c r="M54" s="511">
        <v>13443630</v>
      </c>
      <c r="N54" s="509">
        <v>0</v>
      </c>
      <c r="O54" s="509">
        <v>0</v>
      </c>
      <c r="P54" s="509">
        <v>0</v>
      </c>
      <c r="Q54" s="512">
        <v>0</v>
      </c>
      <c r="R54" s="621">
        <f t="shared" si="19"/>
        <v>2644673</v>
      </c>
      <c r="S54" s="484">
        <f t="shared" si="6"/>
        <v>16088303</v>
      </c>
      <c r="T54" s="485">
        <f t="shared" si="7"/>
        <v>2.480023595783226</v>
      </c>
      <c r="U54" s="500">
        <f t="shared" si="2"/>
        <v>0</v>
      </c>
    </row>
    <row r="55" spans="1:21" s="501" customFormat="1" ht="24" customHeight="1">
      <c r="A55" s="425" t="s">
        <v>480</v>
      </c>
      <c r="B55" s="508" t="s">
        <v>481</v>
      </c>
      <c r="C55" s="610">
        <f t="shared" si="20"/>
        <v>24582163</v>
      </c>
      <c r="D55" s="510">
        <v>17692138</v>
      </c>
      <c r="E55" s="509">
        <v>6890025</v>
      </c>
      <c r="F55" s="509">
        <v>900</v>
      </c>
      <c r="G55" s="509">
        <v>0</v>
      </c>
      <c r="H55" s="610">
        <f t="shared" si="18"/>
        <v>24581263</v>
      </c>
      <c r="I55" s="610">
        <f>J55+K55+L55+M55+N55+O55+P55+Q55</f>
        <v>20976905</v>
      </c>
      <c r="J55" s="509">
        <v>178700</v>
      </c>
      <c r="K55" s="509">
        <v>0</v>
      </c>
      <c r="L55" s="509">
        <v>0</v>
      </c>
      <c r="M55" s="511">
        <v>20798205</v>
      </c>
      <c r="N55" s="509">
        <v>0</v>
      </c>
      <c r="O55" s="509">
        <v>0</v>
      </c>
      <c r="P55" s="509">
        <v>0</v>
      </c>
      <c r="Q55" s="512">
        <v>0</v>
      </c>
      <c r="R55" s="621">
        <f t="shared" si="19"/>
        <v>3604358</v>
      </c>
      <c r="S55" s="484">
        <f t="shared" si="6"/>
        <v>24402563</v>
      </c>
      <c r="T55" s="485">
        <f t="shared" si="7"/>
        <v>0.8518892563035396</v>
      </c>
      <c r="U55" s="500">
        <f t="shared" si="2"/>
        <v>0</v>
      </c>
    </row>
    <row r="56" spans="1:21" s="501" customFormat="1" ht="24" customHeight="1">
      <c r="A56" s="425" t="s">
        <v>482</v>
      </c>
      <c r="B56" s="508" t="s">
        <v>483</v>
      </c>
      <c r="C56" s="610">
        <f t="shared" si="20"/>
        <v>16300972</v>
      </c>
      <c r="D56" s="510">
        <v>8717574</v>
      </c>
      <c r="E56" s="509">
        <v>7583398</v>
      </c>
      <c r="F56" s="509">
        <v>3400</v>
      </c>
      <c r="G56" s="509">
        <v>0</v>
      </c>
      <c r="H56" s="610">
        <f t="shared" si="18"/>
        <v>16297572</v>
      </c>
      <c r="I56" s="610">
        <f t="shared" si="17"/>
        <v>7250697</v>
      </c>
      <c r="J56" s="509">
        <v>1476255</v>
      </c>
      <c r="K56" s="509">
        <v>9187</v>
      </c>
      <c r="L56" s="509">
        <v>0</v>
      </c>
      <c r="M56" s="511">
        <v>5765255</v>
      </c>
      <c r="N56" s="509">
        <v>0</v>
      </c>
      <c r="O56" s="509">
        <v>0</v>
      </c>
      <c r="P56" s="509">
        <v>0</v>
      </c>
      <c r="Q56" s="512">
        <v>0</v>
      </c>
      <c r="R56" s="621">
        <f t="shared" si="19"/>
        <v>9046875</v>
      </c>
      <c r="S56" s="484">
        <f t="shared" si="6"/>
        <v>14812130</v>
      </c>
      <c r="T56" s="485">
        <f t="shared" si="7"/>
        <v>20.48688560561833</v>
      </c>
      <c r="U56" s="500">
        <f t="shared" si="2"/>
        <v>0</v>
      </c>
    </row>
    <row r="57" spans="1:21" s="501" customFormat="1" ht="24" customHeight="1">
      <c r="A57" s="425" t="s">
        <v>484</v>
      </c>
      <c r="B57" s="508" t="s">
        <v>485</v>
      </c>
      <c r="C57" s="610">
        <f t="shared" si="20"/>
        <v>34950896</v>
      </c>
      <c r="D57" s="510">
        <v>32642785</v>
      </c>
      <c r="E57" s="509">
        <v>2308111</v>
      </c>
      <c r="F57" s="509">
        <v>1975734</v>
      </c>
      <c r="G57" s="509">
        <v>0</v>
      </c>
      <c r="H57" s="610">
        <f t="shared" si="18"/>
        <v>32975162</v>
      </c>
      <c r="I57" s="610">
        <f t="shared" si="17"/>
        <v>30089710</v>
      </c>
      <c r="J57" s="509">
        <v>150359</v>
      </c>
      <c r="K57" s="509">
        <v>14030</v>
      </c>
      <c r="L57" s="509">
        <v>0</v>
      </c>
      <c r="M57" s="511">
        <v>29925321</v>
      </c>
      <c r="N57" s="509">
        <v>0</v>
      </c>
      <c r="O57" s="509">
        <v>0</v>
      </c>
      <c r="P57" s="509">
        <v>0</v>
      </c>
      <c r="Q57" s="512">
        <v>0</v>
      </c>
      <c r="R57" s="621">
        <f t="shared" si="19"/>
        <v>2885452</v>
      </c>
      <c r="S57" s="484">
        <f t="shared" si="6"/>
        <v>32810773</v>
      </c>
      <c r="T57" s="485">
        <f t="shared" si="7"/>
        <v>0.5463296256427862</v>
      </c>
      <c r="U57" s="500">
        <f t="shared" si="2"/>
        <v>0</v>
      </c>
    </row>
    <row r="58" spans="1:21" s="501" customFormat="1" ht="24" customHeight="1">
      <c r="A58" s="425" t="s">
        <v>486</v>
      </c>
      <c r="B58" s="508" t="s">
        <v>487</v>
      </c>
      <c r="C58" s="610">
        <f t="shared" si="20"/>
        <v>1265071</v>
      </c>
      <c r="D58" s="510">
        <v>1238538</v>
      </c>
      <c r="E58" s="509">
        <v>26533</v>
      </c>
      <c r="F58" s="509">
        <v>0</v>
      </c>
      <c r="G58" s="509">
        <v>0</v>
      </c>
      <c r="H58" s="610">
        <f>I58+R58</f>
        <v>1265071</v>
      </c>
      <c r="I58" s="610">
        <f t="shared" si="17"/>
        <v>39578</v>
      </c>
      <c r="J58" s="509">
        <v>7200</v>
      </c>
      <c r="K58" s="509">
        <v>0</v>
      </c>
      <c r="L58" s="509">
        <v>0</v>
      </c>
      <c r="M58" s="509">
        <v>32378</v>
      </c>
      <c r="N58" s="509">
        <v>0</v>
      </c>
      <c r="O58" s="509">
        <v>0</v>
      </c>
      <c r="P58" s="509">
        <v>0</v>
      </c>
      <c r="Q58" s="512">
        <v>0</v>
      </c>
      <c r="R58" s="621">
        <f t="shared" si="19"/>
        <v>1225493</v>
      </c>
      <c r="S58" s="484">
        <f t="shared" si="6"/>
        <v>1257871</v>
      </c>
      <c r="T58" s="485">
        <f t="shared" si="7"/>
        <v>18.191924806710798</v>
      </c>
      <c r="U58" s="500">
        <f t="shared" si="2"/>
        <v>0</v>
      </c>
    </row>
    <row r="59" spans="1:21" s="422" customFormat="1" ht="24" customHeight="1">
      <c r="A59" s="428">
        <v>6</v>
      </c>
      <c r="B59" s="421" t="s">
        <v>488</v>
      </c>
      <c r="C59" s="481">
        <f>C60+C61+C62+C63</f>
        <v>666487531</v>
      </c>
      <c r="D59" s="482">
        <f>D60+D61+D62+D63</f>
        <v>563037973</v>
      </c>
      <c r="E59" s="482">
        <f aca="true" t="shared" si="21" ref="E59:R59">E60+E61+E62+E63</f>
        <v>103449558</v>
      </c>
      <c r="F59" s="482">
        <f t="shared" si="21"/>
        <v>8348727</v>
      </c>
      <c r="G59" s="482">
        <f t="shared" si="21"/>
        <v>0</v>
      </c>
      <c r="H59" s="481">
        <f t="shared" si="21"/>
        <v>658138804</v>
      </c>
      <c r="I59" s="481">
        <f t="shared" si="21"/>
        <v>196367226</v>
      </c>
      <c r="J59" s="482">
        <f t="shared" si="21"/>
        <v>125100862</v>
      </c>
      <c r="K59" s="482">
        <f t="shared" si="21"/>
        <v>41970020</v>
      </c>
      <c r="L59" s="482">
        <f t="shared" si="21"/>
        <v>0</v>
      </c>
      <c r="M59" s="482">
        <f t="shared" si="21"/>
        <v>28948391</v>
      </c>
      <c r="N59" s="482">
        <f t="shared" si="21"/>
        <v>347953</v>
      </c>
      <c r="O59" s="482">
        <f t="shared" si="21"/>
        <v>0</v>
      </c>
      <c r="P59" s="482">
        <f t="shared" si="21"/>
        <v>0</v>
      </c>
      <c r="Q59" s="482">
        <f t="shared" si="21"/>
        <v>0</v>
      </c>
      <c r="R59" s="481">
        <f t="shared" si="21"/>
        <v>461771578</v>
      </c>
      <c r="S59" s="627">
        <f t="shared" si="6"/>
        <v>491067922</v>
      </c>
      <c r="T59" s="483">
        <f t="shared" si="7"/>
        <v>85.08083828612011</v>
      </c>
      <c r="U59" s="500">
        <f t="shared" si="2"/>
        <v>0</v>
      </c>
    </row>
    <row r="60" spans="1:21" s="501" customFormat="1" ht="24" customHeight="1">
      <c r="A60" s="425">
        <v>1</v>
      </c>
      <c r="B60" s="418" t="s">
        <v>489</v>
      </c>
      <c r="C60" s="488">
        <f>D60+E60</f>
        <v>559058182</v>
      </c>
      <c r="D60" s="507">
        <v>554279517</v>
      </c>
      <c r="E60" s="507">
        <v>4778665</v>
      </c>
      <c r="F60" s="507">
        <v>10719</v>
      </c>
      <c r="G60" s="507"/>
      <c r="H60" s="617">
        <f>C60-F60-G60</f>
        <v>559047463</v>
      </c>
      <c r="I60" s="617">
        <f>J60+K60+L60+M60+N60+O60+P60+Q60</f>
        <v>169648625</v>
      </c>
      <c r="J60" s="507">
        <v>124567393</v>
      </c>
      <c r="K60" s="507">
        <v>37510896</v>
      </c>
      <c r="L60" s="507"/>
      <c r="M60" s="507">
        <v>7570336</v>
      </c>
      <c r="N60" s="513"/>
      <c r="O60" s="513"/>
      <c r="P60" s="513"/>
      <c r="Q60" s="513"/>
      <c r="R60" s="622">
        <v>389398838</v>
      </c>
      <c r="S60" s="484">
        <f t="shared" si="6"/>
        <v>396969174</v>
      </c>
      <c r="T60" s="485">
        <f t="shared" si="7"/>
        <v>95.53763786768093</v>
      </c>
      <c r="U60" s="500">
        <f t="shared" si="2"/>
        <v>0</v>
      </c>
    </row>
    <row r="61" spans="1:21" s="501" customFormat="1" ht="24" customHeight="1">
      <c r="A61" s="425">
        <v>2</v>
      </c>
      <c r="B61" s="418" t="s">
        <v>490</v>
      </c>
      <c r="C61" s="488">
        <f>D61+E61</f>
        <v>8881606</v>
      </c>
      <c r="D61" s="507">
        <v>2545110</v>
      </c>
      <c r="E61" s="507">
        <v>6336496</v>
      </c>
      <c r="F61" s="507">
        <v>4272068</v>
      </c>
      <c r="G61" s="507"/>
      <c r="H61" s="617">
        <f>I61+R61</f>
        <v>4609538</v>
      </c>
      <c r="I61" s="617">
        <f>J61+K61+L61+M61+N61+O61+P61+Q61</f>
        <v>3481045</v>
      </c>
      <c r="J61" s="507">
        <v>204485</v>
      </c>
      <c r="K61" s="507">
        <v>142786</v>
      </c>
      <c r="L61" s="507"/>
      <c r="M61" s="507">
        <v>3133774</v>
      </c>
      <c r="N61" s="513">
        <v>0</v>
      </c>
      <c r="O61" s="513"/>
      <c r="P61" s="513"/>
      <c r="Q61" s="513"/>
      <c r="R61" s="622">
        <v>1128493</v>
      </c>
      <c r="S61" s="484">
        <f t="shared" si="6"/>
        <v>4262267</v>
      </c>
      <c r="T61" s="485">
        <f t="shared" si="7"/>
        <v>9.976056040642968</v>
      </c>
      <c r="U61" s="500">
        <f t="shared" si="2"/>
        <v>0</v>
      </c>
    </row>
    <row r="62" spans="1:21" s="501" customFormat="1" ht="24" customHeight="1">
      <c r="A62" s="425">
        <v>3</v>
      </c>
      <c r="B62" s="418" t="s">
        <v>491</v>
      </c>
      <c r="C62" s="488">
        <f>D62+E62</f>
        <v>87178738</v>
      </c>
      <c r="D62" s="507">
        <v>1651980</v>
      </c>
      <c r="E62" s="507">
        <v>85526758</v>
      </c>
      <c r="F62" s="507">
        <v>4049426</v>
      </c>
      <c r="G62" s="507"/>
      <c r="H62" s="617">
        <f>I62+R62</f>
        <v>83129312</v>
      </c>
      <c r="I62" s="617">
        <f>J62+K62+L62+M62+N62+O62+P62+Q62</f>
        <v>13858319</v>
      </c>
      <c r="J62" s="507">
        <v>241975</v>
      </c>
      <c r="K62" s="507">
        <v>2865892</v>
      </c>
      <c r="L62" s="507"/>
      <c r="M62" s="507">
        <v>10622501</v>
      </c>
      <c r="N62" s="513">
        <v>127951</v>
      </c>
      <c r="O62" s="513"/>
      <c r="P62" s="513"/>
      <c r="Q62" s="513"/>
      <c r="R62" s="622">
        <v>69270993</v>
      </c>
      <c r="S62" s="484">
        <f t="shared" si="6"/>
        <v>80021445</v>
      </c>
      <c r="T62" s="485">
        <f t="shared" si="7"/>
        <v>22.426002749684145</v>
      </c>
      <c r="U62" s="500">
        <f t="shared" si="2"/>
        <v>0</v>
      </c>
    </row>
    <row r="63" spans="1:21" s="501" customFormat="1" ht="24" customHeight="1">
      <c r="A63" s="425">
        <v>4</v>
      </c>
      <c r="B63" s="418" t="s">
        <v>492</v>
      </c>
      <c r="C63" s="488">
        <f>D63+E63</f>
        <v>11369005</v>
      </c>
      <c r="D63" s="507">
        <v>4561366</v>
      </c>
      <c r="E63" s="507">
        <v>6807639</v>
      </c>
      <c r="F63" s="507">
        <v>16514</v>
      </c>
      <c r="G63" s="507"/>
      <c r="H63" s="617">
        <f>I63+R63</f>
        <v>11352491</v>
      </c>
      <c r="I63" s="617">
        <f>J63+K63+L63+M63+N63+O63+P63+Q63</f>
        <v>9379237</v>
      </c>
      <c r="J63" s="507">
        <v>87009</v>
      </c>
      <c r="K63" s="507">
        <v>1450446</v>
      </c>
      <c r="L63" s="507"/>
      <c r="M63" s="507">
        <v>7621780</v>
      </c>
      <c r="N63" s="513">
        <v>220002</v>
      </c>
      <c r="O63" s="513"/>
      <c r="P63" s="513"/>
      <c r="Q63" s="513"/>
      <c r="R63" s="622">
        <v>1973254</v>
      </c>
      <c r="S63" s="484">
        <f t="shared" si="6"/>
        <v>9815036</v>
      </c>
      <c r="T63" s="485">
        <f t="shared" si="7"/>
        <v>16.39211163978477</v>
      </c>
      <c r="U63" s="500">
        <f t="shared" si="2"/>
        <v>0</v>
      </c>
    </row>
    <row r="64" spans="1:21" s="422" customFormat="1" ht="24" customHeight="1">
      <c r="A64" s="431">
        <v>7</v>
      </c>
      <c r="B64" s="430" t="s">
        <v>544</v>
      </c>
      <c r="C64" s="481">
        <f aca="true" t="shared" si="22" ref="C64:C71">D64+E64</f>
        <v>372921304</v>
      </c>
      <c r="D64" s="482">
        <f>SUM(D65:D71)</f>
        <v>179328126</v>
      </c>
      <c r="E64" s="482">
        <f>SUM(E65:E71)</f>
        <v>193593178</v>
      </c>
      <c r="F64" s="482">
        <f>SUM(F65:F71)</f>
        <v>42519880</v>
      </c>
      <c r="G64" s="482">
        <f>SUM(G65:G71)</f>
        <v>5121705</v>
      </c>
      <c r="H64" s="481">
        <f aca="true" t="shared" si="23" ref="H64:H71">I64+R64</f>
        <v>330401424</v>
      </c>
      <c r="I64" s="481">
        <f aca="true" t="shared" si="24" ref="I64:I70">SUM(J64:Q64)</f>
        <v>262012044</v>
      </c>
      <c r="J64" s="482">
        <f aca="true" t="shared" si="25" ref="J64:R64">SUM(J65:J71)</f>
        <v>43167318</v>
      </c>
      <c r="K64" s="482">
        <f t="shared" si="25"/>
        <v>4239353</v>
      </c>
      <c r="L64" s="482">
        <f t="shared" si="25"/>
        <v>0</v>
      </c>
      <c r="M64" s="482">
        <f t="shared" si="25"/>
        <v>203651750</v>
      </c>
      <c r="N64" s="482">
        <f t="shared" si="25"/>
        <v>0</v>
      </c>
      <c r="O64" s="482">
        <f t="shared" si="25"/>
        <v>4466200</v>
      </c>
      <c r="P64" s="482">
        <f t="shared" si="25"/>
        <v>0</v>
      </c>
      <c r="Q64" s="482">
        <f t="shared" si="25"/>
        <v>6487423</v>
      </c>
      <c r="R64" s="481">
        <f t="shared" si="25"/>
        <v>68389380</v>
      </c>
      <c r="S64" s="627">
        <f t="shared" si="6"/>
        <v>282994753</v>
      </c>
      <c r="T64" s="483">
        <f t="shared" si="7"/>
        <v>18.093317496504092</v>
      </c>
      <c r="U64" s="500">
        <f t="shared" si="2"/>
        <v>0</v>
      </c>
    </row>
    <row r="65" spans="1:21" s="501" customFormat="1" ht="24" customHeight="1">
      <c r="A65" s="425" t="s">
        <v>43</v>
      </c>
      <c r="B65" s="418" t="s">
        <v>493</v>
      </c>
      <c r="C65" s="488">
        <f t="shared" si="22"/>
        <v>66452532</v>
      </c>
      <c r="D65" s="514">
        <f>8575+62312-34</f>
        <v>70853</v>
      </c>
      <c r="E65" s="514">
        <f>51300+2090522+400+15200+200+17739811+1400350+34638+400+26931217+23800+256174+17837667</f>
        <v>66381679</v>
      </c>
      <c r="F65" s="514"/>
      <c r="G65" s="514"/>
      <c r="H65" s="618">
        <f t="shared" si="23"/>
        <v>66452532</v>
      </c>
      <c r="I65" s="618">
        <f t="shared" si="24"/>
        <v>66452532</v>
      </c>
      <c r="J65" s="514">
        <f>1096287+15290+53100+61450+10169790+67200+5200+94200+10200+14590+64000</f>
        <v>11651307</v>
      </c>
      <c r="K65" s="514">
        <v>2045323</v>
      </c>
      <c r="L65" s="514"/>
      <c r="M65" s="514">
        <f>59875+2090522+400+8100-400+14605901+1385060-53100-61450+34638+62712-34-10169790+26864017+18117641-188190</f>
        <v>52755902</v>
      </c>
      <c r="N65" s="514"/>
      <c r="O65" s="514"/>
      <c r="P65" s="514"/>
      <c r="Q65" s="515"/>
      <c r="R65" s="623"/>
      <c r="S65" s="484">
        <f t="shared" si="6"/>
        <v>52755902</v>
      </c>
      <c r="T65" s="485">
        <f t="shared" si="7"/>
        <v>20.611148420951064</v>
      </c>
      <c r="U65" s="500">
        <f t="shared" si="2"/>
        <v>0</v>
      </c>
    </row>
    <row r="66" spans="1:21" s="501" customFormat="1" ht="24" customHeight="1">
      <c r="A66" s="425" t="s">
        <v>44</v>
      </c>
      <c r="B66" s="418" t="s">
        <v>494</v>
      </c>
      <c r="C66" s="488">
        <f t="shared" si="22"/>
        <v>62356239</v>
      </c>
      <c r="D66" s="514">
        <v>32352379</v>
      </c>
      <c r="E66" s="514">
        <f>30003860+2421705-2421705</f>
        <v>30003860</v>
      </c>
      <c r="F66" s="514">
        <v>32080</v>
      </c>
      <c r="G66" s="514">
        <v>2421705</v>
      </c>
      <c r="H66" s="618">
        <f t="shared" si="23"/>
        <v>62324159</v>
      </c>
      <c r="I66" s="618">
        <f t="shared" si="24"/>
        <v>50538665</v>
      </c>
      <c r="J66" s="514">
        <v>9763017</v>
      </c>
      <c r="K66" s="514">
        <v>246350</v>
      </c>
      <c r="L66" s="514"/>
      <c r="M66" s="514">
        <f>36063098</f>
        <v>36063098</v>
      </c>
      <c r="N66" s="514"/>
      <c r="O66" s="514">
        <v>4466200</v>
      </c>
      <c r="P66" s="514"/>
      <c r="Q66" s="515">
        <v>0</v>
      </c>
      <c r="R66" s="623">
        <v>11785494</v>
      </c>
      <c r="S66" s="484">
        <f t="shared" si="6"/>
        <v>52314792</v>
      </c>
      <c r="T66" s="485">
        <f t="shared" si="7"/>
        <v>19.80536486272441</v>
      </c>
      <c r="U66" s="500">
        <f t="shared" si="2"/>
        <v>0</v>
      </c>
    </row>
    <row r="67" spans="1:21" s="501" customFormat="1" ht="24" customHeight="1">
      <c r="A67" s="425" t="s">
        <v>47</v>
      </c>
      <c r="B67" s="418" t="s">
        <v>563</v>
      </c>
      <c r="C67" s="488">
        <f t="shared" si="22"/>
        <v>19926172</v>
      </c>
      <c r="D67" s="514">
        <f>20624122-4892645</f>
        <v>15731477</v>
      </c>
      <c r="E67" s="514">
        <f>389929+2059+46805+2712779+1000+20954182+800+15204+5800+7819+3500-20135019+189837</f>
        <v>4194695</v>
      </c>
      <c r="F67" s="514">
        <v>1117000</v>
      </c>
      <c r="G67" s="514"/>
      <c r="H67" s="618">
        <f t="shared" si="23"/>
        <v>18809172</v>
      </c>
      <c r="I67" s="618">
        <f t="shared" si="24"/>
        <v>17197377</v>
      </c>
      <c r="J67" s="514">
        <f>67330+600+600+600+1400+13700+16600+26034+12764+100646</f>
        <v>240274</v>
      </c>
      <c r="K67" s="514">
        <f>200+21079</f>
        <v>21279</v>
      </c>
      <c r="L67" s="514"/>
      <c r="M67" s="514">
        <f>15852307+1459+2759984+20953582+14523+2260177-26170898-12764-100646+189837</f>
        <v>15747561</v>
      </c>
      <c r="N67" s="514"/>
      <c r="O67" s="514"/>
      <c r="P67" s="514"/>
      <c r="Q67" s="515">
        <v>1188263</v>
      </c>
      <c r="R67" s="623">
        <f>1632874-21079</f>
        <v>1611795</v>
      </c>
      <c r="S67" s="484">
        <f t="shared" si="6"/>
        <v>18547619</v>
      </c>
      <c r="T67" s="485">
        <f t="shared" si="7"/>
        <v>1.5208889123033122</v>
      </c>
      <c r="U67" s="500">
        <f t="shared" si="2"/>
        <v>0</v>
      </c>
    </row>
    <row r="68" spans="1:21" s="501" customFormat="1" ht="24" customHeight="1">
      <c r="A68" s="425" t="s">
        <v>56</v>
      </c>
      <c r="B68" s="418" t="s">
        <v>496</v>
      </c>
      <c r="C68" s="488">
        <f t="shared" si="22"/>
        <v>99449787</v>
      </c>
      <c r="D68" s="514">
        <f>108215582-11459035</f>
        <v>96756547</v>
      </c>
      <c r="E68" s="514">
        <f>200744+112622+7440+200+321874+2050360</f>
        <v>2693240</v>
      </c>
      <c r="F68" s="514"/>
      <c r="G68" s="514"/>
      <c r="H68" s="618">
        <f t="shared" si="23"/>
        <v>99449787</v>
      </c>
      <c r="I68" s="618">
        <f t="shared" si="24"/>
        <v>69449787</v>
      </c>
      <c r="J68" s="514">
        <f>2524870+400+200+7338+13000000+112324+151181+321874+210600</f>
        <v>16328787</v>
      </c>
      <c r="K68" s="514"/>
      <c r="L68" s="514"/>
      <c r="M68" s="514">
        <f>12546329-11918751+102+93917065-13000000-112324+1899179-210600-30000000</f>
        <v>53121000</v>
      </c>
      <c r="N68" s="514"/>
      <c r="O68" s="514"/>
      <c r="P68" s="514"/>
      <c r="Q68" s="515">
        <v>0</v>
      </c>
      <c r="R68" s="623">
        <v>30000000</v>
      </c>
      <c r="S68" s="484">
        <f t="shared" si="6"/>
        <v>83121000</v>
      </c>
      <c r="T68" s="485">
        <f t="shared" si="7"/>
        <v>23.51164446335883</v>
      </c>
      <c r="U68" s="500">
        <f t="shared" si="2"/>
        <v>0</v>
      </c>
    </row>
    <row r="69" spans="1:21" s="501" customFormat="1" ht="24" customHeight="1">
      <c r="A69" s="425" t="s">
        <v>57</v>
      </c>
      <c r="B69" s="418" t="s">
        <v>497</v>
      </c>
      <c r="C69" s="488">
        <f t="shared" si="22"/>
        <v>69296285</v>
      </c>
      <c r="D69" s="514">
        <v>13187310</v>
      </c>
      <c r="E69" s="514">
        <f>58808975-2700000</f>
        <v>56108975</v>
      </c>
      <c r="F69" s="514">
        <v>39760469</v>
      </c>
      <c r="G69" s="514">
        <v>2700000</v>
      </c>
      <c r="H69" s="618">
        <f t="shared" si="23"/>
        <v>29535816</v>
      </c>
      <c r="I69" s="618">
        <f t="shared" si="24"/>
        <v>6735921</v>
      </c>
      <c r="J69" s="514">
        <v>751385</v>
      </c>
      <c r="K69" s="514">
        <v>123378</v>
      </c>
      <c r="L69" s="514"/>
      <c r="M69" s="514">
        <v>3769673</v>
      </c>
      <c r="N69" s="514"/>
      <c r="O69" s="514"/>
      <c r="P69" s="514"/>
      <c r="Q69" s="515">
        <v>2091485</v>
      </c>
      <c r="R69" s="623">
        <v>22799895</v>
      </c>
      <c r="S69" s="484">
        <f t="shared" si="6"/>
        <v>28661053</v>
      </c>
      <c r="T69" s="485">
        <f t="shared" si="7"/>
        <v>12.986538886070665</v>
      </c>
      <c r="U69" s="500">
        <f t="shared" si="2"/>
        <v>0</v>
      </c>
    </row>
    <row r="70" spans="1:21" s="501" customFormat="1" ht="24" customHeight="1">
      <c r="A70" s="425" t="s">
        <v>58</v>
      </c>
      <c r="B70" s="418" t="s">
        <v>498</v>
      </c>
      <c r="C70" s="488">
        <f t="shared" si="22"/>
        <v>10294241</v>
      </c>
      <c r="D70" s="514">
        <v>4048821</v>
      </c>
      <c r="E70" s="514">
        <v>6245420</v>
      </c>
      <c r="F70" s="514">
        <v>20450</v>
      </c>
      <c r="G70" s="514"/>
      <c r="H70" s="618">
        <f t="shared" si="23"/>
        <v>10273791</v>
      </c>
      <c r="I70" s="618">
        <f t="shared" si="24"/>
        <v>9224053</v>
      </c>
      <c r="J70" s="514">
        <v>1364644</v>
      </c>
      <c r="K70" s="514">
        <v>372116</v>
      </c>
      <c r="L70" s="514"/>
      <c r="M70" s="514">
        <v>7487243</v>
      </c>
      <c r="N70" s="514"/>
      <c r="O70" s="514"/>
      <c r="P70" s="514"/>
      <c r="Q70" s="515">
        <v>50</v>
      </c>
      <c r="R70" s="623">
        <v>1049738</v>
      </c>
      <c r="S70" s="484">
        <f t="shared" si="6"/>
        <v>8537031</v>
      </c>
      <c r="T70" s="485">
        <f t="shared" si="7"/>
        <v>18.82859953211457</v>
      </c>
      <c r="U70" s="500">
        <f t="shared" si="2"/>
        <v>0</v>
      </c>
    </row>
    <row r="71" spans="1:21" s="501" customFormat="1" ht="24" customHeight="1">
      <c r="A71" s="425" t="s">
        <v>59</v>
      </c>
      <c r="B71" s="418" t="s">
        <v>499</v>
      </c>
      <c r="C71" s="488">
        <f t="shared" si="22"/>
        <v>45146048</v>
      </c>
      <c r="D71" s="514">
        <v>17180739</v>
      </c>
      <c r="E71" s="514">
        <v>27965309</v>
      </c>
      <c r="F71" s="514">
        <v>1589881</v>
      </c>
      <c r="G71" s="514"/>
      <c r="H71" s="618">
        <f t="shared" si="23"/>
        <v>43556167</v>
      </c>
      <c r="I71" s="618">
        <f>J71+K71+L71+M71+N71+O71+P71+Q71</f>
        <v>42413709</v>
      </c>
      <c r="J71" s="514">
        <v>3067904</v>
      </c>
      <c r="K71" s="514">
        <v>1430907</v>
      </c>
      <c r="L71" s="514"/>
      <c r="M71" s="514">
        <f>34167273+540000</f>
        <v>34707273</v>
      </c>
      <c r="N71" s="514"/>
      <c r="O71" s="514"/>
      <c r="P71" s="514"/>
      <c r="Q71" s="515">
        <v>3207625</v>
      </c>
      <c r="R71" s="623">
        <v>1142458</v>
      </c>
      <c r="S71" s="484">
        <f t="shared" si="6"/>
        <v>39057356</v>
      </c>
      <c r="T71" s="485">
        <f t="shared" si="7"/>
        <v>10.606973797080562</v>
      </c>
      <c r="U71" s="500">
        <f t="shared" si="2"/>
        <v>0</v>
      </c>
    </row>
    <row r="72" spans="1:21" s="422" customFormat="1" ht="24" customHeight="1">
      <c r="A72" s="428">
        <v>8</v>
      </c>
      <c r="B72" s="421" t="s">
        <v>500</v>
      </c>
      <c r="C72" s="481">
        <f>C73+C74+C75</f>
        <v>51769271</v>
      </c>
      <c r="D72" s="482">
        <f aca="true" t="shared" si="26" ref="D72:R72">D73+D74+D75</f>
        <v>18505247</v>
      </c>
      <c r="E72" s="482">
        <f t="shared" si="26"/>
        <v>33264024</v>
      </c>
      <c r="F72" s="482">
        <f t="shared" si="26"/>
        <v>5722467</v>
      </c>
      <c r="G72" s="482">
        <f t="shared" si="26"/>
        <v>0</v>
      </c>
      <c r="H72" s="481">
        <f t="shared" si="26"/>
        <v>46046804</v>
      </c>
      <c r="I72" s="481">
        <f t="shared" si="26"/>
        <v>40652835</v>
      </c>
      <c r="J72" s="482">
        <f t="shared" si="26"/>
        <v>5863618</v>
      </c>
      <c r="K72" s="482">
        <f t="shared" si="26"/>
        <v>428108</v>
      </c>
      <c r="L72" s="482">
        <f t="shared" si="26"/>
        <v>0</v>
      </c>
      <c r="M72" s="482">
        <f t="shared" si="26"/>
        <v>34361109</v>
      </c>
      <c r="N72" s="482">
        <f t="shared" si="26"/>
        <v>0</v>
      </c>
      <c r="O72" s="482">
        <f t="shared" si="26"/>
        <v>0</v>
      </c>
      <c r="P72" s="482">
        <f t="shared" si="26"/>
        <v>0</v>
      </c>
      <c r="Q72" s="482">
        <f t="shared" si="26"/>
        <v>0</v>
      </c>
      <c r="R72" s="481">
        <f t="shared" si="26"/>
        <v>5393969</v>
      </c>
      <c r="S72" s="627">
        <f t="shared" si="6"/>
        <v>39755078</v>
      </c>
      <c r="T72" s="483">
        <f t="shared" si="7"/>
        <v>15.476721365188922</v>
      </c>
      <c r="U72" s="500">
        <f t="shared" si="2"/>
        <v>0</v>
      </c>
    </row>
    <row r="73" spans="1:21" s="501" customFormat="1" ht="24" customHeight="1">
      <c r="A73" s="425" t="s">
        <v>501</v>
      </c>
      <c r="B73" s="419" t="s">
        <v>502</v>
      </c>
      <c r="C73" s="611">
        <f>D73+E73</f>
        <v>3987522</v>
      </c>
      <c r="D73" s="516">
        <v>663953</v>
      </c>
      <c r="E73" s="516">
        <v>3323569</v>
      </c>
      <c r="F73" s="516">
        <v>112524</v>
      </c>
      <c r="G73" s="516"/>
      <c r="H73" s="611">
        <f>I73+R73</f>
        <v>3874998</v>
      </c>
      <c r="I73" s="611">
        <f>J73+K73+L73+M73+N73+O73+P73+Q73</f>
        <v>3327799</v>
      </c>
      <c r="J73" s="516">
        <v>707205</v>
      </c>
      <c r="K73" s="516">
        <v>319170</v>
      </c>
      <c r="L73" s="516"/>
      <c r="M73" s="516">
        <v>2301424</v>
      </c>
      <c r="N73" s="516"/>
      <c r="O73" s="516"/>
      <c r="P73" s="516"/>
      <c r="Q73" s="516"/>
      <c r="R73" s="611">
        <v>547199</v>
      </c>
      <c r="S73" s="484">
        <f t="shared" si="6"/>
        <v>2848623</v>
      </c>
      <c r="T73" s="485">
        <f t="shared" si="7"/>
        <v>30.842457732573394</v>
      </c>
      <c r="U73" s="500">
        <f t="shared" si="2"/>
        <v>0</v>
      </c>
    </row>
    <row r="74" spans="1:21" s="501" customFormat="1" ht="24" customHeight="1">
      <c r="A74" s="425" t="s">
        <v>503</v>
      </c>
      <c r="B74" s="419" t="s">
        <v>504</v>
      </c>
      <c r="C74" s="611">
        <f>D74+E74</f>
        <v>29077751</v>
      </c>
      <c r="D74" s="516">
        <v>7391158</v>
      </c>
      <c r="E74" s="516">
        <v>21686593</v>
      </c>
      <c r="F74" s="516">
        <v>5609943</v>
      </c>
      <c r="G74" s="516"/>
      <c r="H74" s="611">
        <f>I74+R74</f>
        <v>23467808</v>
      </c>
      <c r="I74" s="611">
        <f>J74+K74+L74+M74+N74+O74+P74+Q74</f>
        <v>20937524</v>
      </c>
      <c r="J74" s="516">
        <v>2776999</v>
      </c>
      <c r="K74" s="516">
        <v>108938</v>
      </c>
      <c r="L74" s="516"/>
      <c r="M74" s="516">
        <v>18051587</v>
      </c>
      <c r="N74" s="516"/>
      <c r="O74" s="516"/>
      <c r="P74" s="516"/>
      <c r="Q74" s="516"/>
      <c r="R74" s="611">
        <v>2530284</v>
      </c>
      <c r="S74" s="484">
        <f t="shared" si="6"/>
        <v>20581871</v>
      </c>
      <c r="T74" s="485">
        <f t="shared" si="7"/>
        <v>13.783563901825257</v>
      </c>
      <c r="U74" s="500">
        <f t="shared" si="2"/>
        <v>0</v>
      </c>
    </row>
    <row r="75" spans="1:21" s="501" customFormat="1" ht="24" customHeight="1">
      <c r="A75" s="425" t="s">
        <v>564</v>
      </c>
      <c r="B75" s="419" t="s">
        <v>495</v>
      </c>
      <c r="C75" s="611">
        <f>D75+E75</f>
        <v>18703998</v>
      </c>
      <c r="D75" s="516">
        <v>10450136</v>
      </c>
      <c r="E75" s="516">
        <v>8253862</v>
      </c>
      <c r="F75" s="516"/>
      <c r="G75" s="516"/>
      <c r="H75" s="611">
        <f>I75+R75</f>
        <v>18703998</v>
      </c>
      <c r="I75" s="611">
        <f>J75+K75+L75+M75+N75+O75+P75+Q75</f>
        <v>16387512</v>
      </c>
      <c r="J75" s="516">
        <v>2379414</v>
      </c>
      <c r="K75" s="516">
        <v>0</v>
      </c>
      <c r="L75" s="516"/>
      <c r="M75" s="516">
        <v>14008098</v>
      </c>
      <c r="N75" s="516"/>
      <c r="O75" s="516"/>
      <c r="P75" s="516"/>
      <c r="Q75" s="516"/>
      <c r="R75" s="611">
        <v>2316486</v>
      </c>
      <c r="S75" s="484">
        <f t="shared" si="6"/>
        <v>16324584</v>
      </c>
      <c r="T75" s="485">
        <f t="shared" si="7"/>
        <v>14.519678154926751</v>
      </c>
      <c r="U75" s="500">
        <f t="shared" si="2"/>
        <v>0</v>
      </c>
    </row>
    <row r="76" spans="1:21" s="422" customFormat="1" ht="23.25" customHeight="1">
      <c r="A76" s="428">
        <v>9</v>
      </c>
      <c r="B76" s="421" t="s">
        <v>505</v>
      </c>
      <c r="C76" s="494">
        <f>SUM(C77:C79)</f>
        <v>12325554</v>
      </c>
      <c r="D76" s="499">
        <f aca="true" t="shared" si="27" ref="D76:R76">SUM(D77:D79)</f>
        <v>4812388</v>
      </c>
      <c r="E76" s="499">
        <f t="shared" si="27"/>
        <v>7513166</v>
      </c>
      <c r="F76" s="499">
        <f t="shared" si="27"/>
        <v>232668</v>
      </c>
      <c r="G76" s="499">
        <f t="shared" si="27"/>
        <v>0</v>
      </c>
      <c r="H76" s="494">
        <f t="shared" si="27"/>
        <v>12092886</v>
      </c>
      <c r="I76" s="494">
        <f t="shared" si="27"/>
        <v>10273359</v>
      </c>
      <c r="J76" s="499">
        <f t="shared" si="27"/>
        <v>1744675</v>
      </c>
      <c r="K76" s="499">
        <f t="shared" si="27"/>
        <v>58907</v>
      </c>
      <c r="L76" s="499">
        <f t="shared" si="27"/>
        <v>0</v>
      </c>
      <c r="M76" s="499">
        <f t="shared" si="27"/>
        <v>8401366</v>
      </c>
      <c r="N76" s="499">
        <f t="shared" si="27"/>
        <v>68411</v>
      </c>
      <c r="O76" s="499">
        <f t="shared" si="27"/>
        <v>0</v>
      </c>
      <c r="P76" s="499">
        <f t="shared" si="27"/>
        <v>0</v>
      </c>
      <c r="Q76" s="499">
        <f t="shared" si="27"/>
        <v>0</v>
      </c>
      <c r="R76" s="494">
        <f t="shared" si="27"/>
        <v>1819527</v>
      </c>
      <c r="S76" s="627">
        <f t="shared" si="6"/>
        <v>10289304</v>
      </c>
      <c r="T76" s="483">
        <f t="shared" si="7"/>
        <v>17.55591330936649</v>
      </c>
      <c r="U76" s="500">
        <f aca="true" t="shared" si="28" ref="U76:U117">H76-I76-R76</f>
        <v>0</v>
      </c>
    </row>
    <row r="77" spans="1:21" s="501" customFormat="1" ht="24" customHeight="1">
      <c r="A77" s="425" t="s">
        <v>506</v>
      </c>
      <c r="B77" s="418" t="s">
        <v>507</v>
      </c>
      <c r="C77" s="612">
        <f>SUM(D77:E77)</f>
        <v>3504202</v>
      </c>
      <c r="D77" s="517">
        <v>1910632</v>
      </c>
      <c r="E77" s="517">
        <v>1593570</v>
      </c>
      <c r="F77" s="517">
        <v>13443</v>
      </c>
      <c r="G77" s="517">
        <v>0</v>
      </c>
      <c r="H77" s="612">
        <f>I77+R77</f>
        <v>3490759</v>
      </c>
      <c r="I77" s="612">
        <f>SUM(J77:Q77)</f>
        <v>2576004</v>
      </c>
      <c r="J77" s="517">
        <v>539206</v>
      </c>
      <c r="K77" s="517">
        <v>40286</v>
      </c>
      <c r="L77" s="517">
        <v>0</v>
      </c>
      <c r="M77" s="517">
        <f>C77-J77-K77-L77-N77-O77-P77-Q77-R77-F77-G77</f>
        <v>1996512</v>
      </c>
      <c r="N77" s="517">
        <v>0</v>
      </c>
      <c r="O77" s="517">
        <v>0</v>
      </c>
      <c r="P77" s="517">
        <v>0</v>
      </c>
      <c r="Q77" s="518">
        <v>0</v>
      </c>
      <c r="R77" s="491">
        <v>914755</v>
      </c>
      <c r="S77" s="484">
        <f aca="true" t="shared" si="29" ref="S77:S117">H77-J77-K77-L77</f>
        <v>2911267</v>
      </c>
      <c r="T77" s="485">
        <f aca="true" t="shared" si="30" ref="T77:T117">(J77+K77+L77)/I77*100</f>
        <v>22.49577252209236</v>
      </c>
      <c r="U77" s="500">
        <f t="shared" si="28"/>
        <v>0</v>
      </c>
    </row>
    <row r="78" spans="1:21" s="501" customFormat="1" ht="24" customHeight="1">
      <c r="A78" s="425" t="s">
        <v>508</v>
      </c>
      <c r="B78" s="418" t="s">
        <v>509</v>
      </c>
      <c r="C78" s="612">
        <f>SUM(D78:E78)</f>
        <v>5463520</v>
      </c>
      <c r="D78" s="517">
        <v>2589677</v>
      </c>
      <c r="E78" s="517">
        <v>2873843</v>
      </c>
      <c r="F78" s="517">
        <v>177200</v>
      </c>
      <c r="G78" s="517">
        <v>0</v>
      </c>
      <c r="H78" s="612">
        <f>I78+R78</f>
        <v>5286320</v>
      </c>
      <c r="I78" s="612">
        <f>SUM(J78:Q78)</f>
        <v>4956511</v>
      </c>
      <c r="J78" s="517">
        <v>981090</v>
      </c>
      <c r="K78" s="517">
        <v>18621</v>
      </c>
      <c r="L78" s="517">
        <v>0</v>
      </c>
      <c r="M78" s="517">
        <f>C78-J78-K78-L78-N78-O78-P78-Q78-R78-F78-G78</f>
        <v>3888389</v>
      </c>
      <c r="N78" s="517">
        <v>68411</v>
      </c>
      <c r="O78" s="517">
        <v>0</v>
      </c>
      <c r="P78" s="517">
        <v>0</v>
      </c>
      <c r="Q78" s="518">
        <v>0</v>
      </c>
      <c r="R78" s="491">
        <v>329809</v>
      </c>
      <c r="S78" s="484">
        <f t="shared" si="29"/>
        <v>4286609</v>
      </c>
      <c r="T78" s="485">
        <f t="shared" si="30"/>
        <v>20.169651595648634</v>
      </c>
      <c r="U78" s="500">
        <f t="shared" si="28"/>
        <v>0</v>
      </c>
    </row>
    <row r="79" spans="1:21" s="501" customFormat="1" ht="24" customHeight="1">
      <c r="A79" s="425" t="s">
        <v>510</v>
      </c>
      <c r="B79" s="418" t="s">
        <v>511</v>
      </c>
      <c r="C79" s="612">
        <f>SUM(D79:E79)</f>
        <v>3357832</v>
      </c>
      <c r="D79" s="517">
        <v>312079</v>
      </c>
      <c r="E79" s="517">
        <v>3045753</v>
      </c>
      <c r="F79" s="517">
        <v>42025</v>
      </c>
      <c r="G79" s="517">
        <v>0</v>
      </c>
      <c r="H79" s="612">
        <f>I79+R79</f>
        <v>3315807</v>
      </c>
      <c r="I79" s="612">
        <f>SUM(J79:Q79)</f>
        <v>2740844</v>
      </c>
      <c r="J79" s="517">
        <v>224379</v>
      </c>
      <c r="K79" s="517">
        <v>0</v>
      </c>
      <c r="L79" s="517">
        <v>0</v>
      </c>
      <c r="M79" s="517">
        <f>C79-J79-K79-L79-N79-O79-P79-Q79-R79-F79-G79</f>
        <v>2516465</v>
      </c>
      <c r="N79" s="517">
        <v>0</v>
      </c>
      <c r="O79" s="517">
        <v>0</v>
      </c>
      <c r="P79" s="517">
        <v>0</v>
      </c>
      <c r="Q79" s="518">
        <v>0</v>
      </c>
      <c r="R79" s="491">
        <v>574963</v>
      </c>
      <c r="S79" s="484">
        <f t="shared" si="29"/>
        <v>3091428</v>
      </c>
      <c r="T79" s="485">
        <f t="shared" si="30"/>
        <v>8.186492919699187</v>
      </c>
      <c r="U79" s="500">
        <f t="shared" si="28"/>
        <v>0</v>
      </c>
    </row>
    <row r="80" spans="1:21" s="422" customFormat="1" ht="24" customHeight="1">
      <c r="A80" s="428">
        <v>10</v>
      </c>
      <c r="B80" s="421" t="s">
        <v>512</v>
      </c>
      <c r="C80" s="495">
        <f>SUM(C81:C89)</f>
        <v>464623895</v>
      </c>
      <c r="D80" s="498">
        <f aca="true" t="shared" si="31" ref="D80:R80">SUM(D81:D89)</f>
        <v>283233192</v>
      </c>
      <c r="E80" s="498">
        <f t="shared" si="31"/>
        <v>181390703</v>
      </c>
      <c r="F80" s="498">
        <f t="shared" si="31"/>
        <v>4745811</v>
      </c>
      <c r="G80" s="498">
        <f t="shared" si="31"/>
        <v>0</v>
      </c>
      <c r="H80" s="495">
        <f t="shared" si="31"/>
        <v>459878084</v>
      </c>
      <c r="I80" s="495">
        <f t="shared" si="31"/>
        <v>431186741</v>
      </c>
      <c r="J80" s="498">
        <f t="shared" si="31"/>
        <v>61710393</v>
      </c>
      <c r="K80" s="498">
        <f t="shared" si="31"/>
        <v>3282017</v>
      </c>
      <c r="L80" s="498">
        <f t="shared" si="31"/>
        <v>0</v>
      </c>
      <c r="M80" s="498">
        <f t="shared" si="31"/>
        <v>361229839</v>
      </c>
      <c r="N80" s="498">
        <f t="shared" si="31"/>
        <v>1589462</v>
      </c>
      <c r="O80" s="498">
        <f t="shared" si="31"/>
        <v>0</v>
      </c>
      <c r="P80" s="498">
        <f t="shared" si="31"/>
        <v>0</v>
      </c>
      <c r="Q80" s="498">
        <f t="shared" si="31"/>
        <v>3375030</v>
      </c>
      <c r="R80" s="495">
        <f t="shared" si="31"/>
        <v>28691343</v>
      </c>
      <c r="S80" s="627">
        <f t="shared" si="29"/>
        <v>394885674</v>
      </c>
      <c r="T80" s="483">
        <f t="shared" si="30"/>
        <v>15.072914776848393</v>
      </c>
      <c r="U80" s="500">
        <f t="shared" si="28"/>
        <v>0</v>
      </c>
    </row>
    <row r="81" spans="1:21" s="501" customFormat="1" ht="24" customHeight="1">
      <c r="A81" s="425" t="s">
        <v>545</v>
      </c>
      <c r="B81" s="418" t="s">
        <v>513</v>
      </c>
      <c r="C81" s="613">
        <v>682641</v>
      </c>
      <c r="D81" s="520">
        <v>196692</v>
      </c>
      <c r="E81" s="520">
        <v>485949</v>
      </c>
      <c r="F81" s="520">
        <v>106680</v>
      </c>
      <c r="G81" s="520">
        <v>0</v>
      </c>
      <c r="H81" s="613">
        <v>575961</v>
      </c>
      <c r="I81" s="613">
        <v>490149</v>
      </c>
      <c r="J81" s="520">
        <v>300411</v>
      </c>
      <c r="K81" s="520">
        <v>0</v>
      </c>
      <c r="L81" s="520">
        <v>0</v>
      </c>
      <c r="M81" s="520">
        <v>189738</v>
      </c>
      <c r="N81" s="520">
        <v>0</v>
      </c>
      <c r="O81" s="520">
        <v>0</v>
      </c>
      <c r="P81" s="520">
        <v>0</v>
      </c>
      <c r="Q81" s="520">
        <v>0</v>
      </c>
      <c r="R81" s="613">
        <v>85812</v>
      </c>
      <c r="S81" s="484">
        <f t="shared" si="29"/>
        <v>275550</v>
      </c>
      <c r="T81" s="485">
        <f t="shared" si="30"/>
        <v>61.28973026569472</v>
      </c>
      <c r="U81" s="500">
        <f t="shared" si="28"/>
        <v>0</v>
      </c>
    </row>
    <row r="82" spans="1:21" s="501" customFormat="1" ht="24" customHeight="1">
      <c r="A82" s="425" t="s">
        <v>546</v>
      </c>
      <c r="B82" s="418" t="s">
        <v>514</v>
      </c>
      <c r="C82" s="613">
        <v>219227154</v>
      </c>
      <c r="D82" s="520">
        <v>158250868</v>
      </c>
      <c r="E82" s="520">
        <v>60976286</v>
      </c>
      <c r="F82" s="520">
        <v>128057</v>
      </c>
      <c r="G82" s="520">
        <v>0</v>
      </c>
      <c r="H82" s="613">
        <v>219099097</v>
      </c>
      <c r="I82" s="613">
        <v>217675383</v>
      </c>
      <c r="J82" s="520">
        <v>55785886</v>
      </c>
      <c r="K82" s="520">
        <v>1653346</v>
      </c>
      <c r="L82" s="520">
        <v>0</v>
      </c>
      <c r="M82" s="520">
        <v>160236151</v>
      </c>
      <c r="N82" s="520">
        <v>0</v>
      </c>
      <c r="O82" s="520">
        <v>0</v>
      </c>
      <c r="P82" s="520">
        <v>0</v>
      </c>
      <c r="Q82" s="520">
        <v>0</v>
      </c>
      <c r="R82" s="613">
        <v>1423714</v>
      </c>
      <c r="S82" s="484">
        <f t="shared" si="29"/>
        <v>161659865</v>
      </c>
      <c r="T82" s="485">
        <f t="shared" si="30"/>
        <v>26.387564458770242</v>
      </c>
      <c r="U82" s="500">
        <f t="shared" si="28"/>
        <v>0</v>
      </c>
    </row>
    <row r="83" spans="1:21" s="501" customFormat="1" ht="24" customHeight="1">
      <c r="A83" s="425" t="s">
        <v>547</v>
      </c>
      <c r="B83" s="418" t="s">
        <v>515</v>
      </c>
      <c r="C83" s="613">
        <v>29298182</v>
      </c>
      <c r="D83" s="520">
        <v>27909637</v>
      </c>
      <c r="E83" s="520">
        <v>1388545</v>
      </c>
      <c r="F83" s="520">
        <v>121352</v>
      </c>
      <c r="G83" s="520">
        <v>0</v>
      </c>
      <c r="H83" s="613">
        <v>29176830</v>
      </c>
      <c r="I83" s="613">
        <v>28291266</v>
      </c>
      <c r="J83" s="520">
        <v>1943909</v>
      </c>
      <c r="K83" s="520">
        <v>1614181</v>
      </c>
      <c r="L83" s="520">
        <v>0</v>
      </c>
      <c r="M83" s="520">
        <v>20858729</v>
      </c>
      <c r="N83" s="520">
        <v>1302287</v>
      </c>
      <c r="O83" s="520">
        <v>0</v>
      </c>
      <c r="P83" s="520">
        <v>0</v>
      </c>
      <c r="Q83" s="520">
        <v>2572160</v>
      </c>
      <c r="R83" s="613">
        <v>885564</v>
      </c>
      <c r="S83" s="484">
        <f t="shared" si="29"/>
        <v>25618740</v>
      </c>
      <c r="T83" s="485">
        <f t="shared" si="30"/>
        <v>12.576637609642496</v>
      </c>
      <c r="U83" s="500">
        <f t="shared" si="28"/>
        <v>0</v>
      </c>
    </row>
    <row r="84" spans="1:21" s="501" customFormat="1" ht="24" customHeight="1">
      <c r="A84" s="425" t="s">
        <v>548</v>
      </c>
      <c r="B84" s="418" t="s">
        <v>516</v>
      </c>
      <c r="C84" s="613">
        <v>8688094</v>
      </c>
      <c r="D84" s="520">
        <v>6294205</v>
      </c>
      <c r="E84" s="520">
        <v>2393889</v>
      </c>
      <c r="F84" s="520">
        <v>772218</v>
      </c>
      <c r="G84" s="520">
        <v>0</v>
      </c>
      <c r="H84" s="613">
        <v>7915876</v>
      </c>
      <c r="I84" s="613">
        <v>6346282</v>
      </c>
      <c r="J84" s="520">
        <v>131714</v>
      </c>
      <c r="K84" s="520">
        <v>3900</v>
      </c>
      <c r="L84" s="520">
        <v>0</v>
      </c>
      <c r="M84" s="520">
        <v>5408198</v>
      </c>
      <c r="N84" s="520">
        <v>0</v>
      </c>
      <c r="O84" s="520">
        <v>0</v>
      </c>
      <c r="P84" s="520">
        <v>0</v>
      </c>
      <c r="Q84" s="520">
        <v>802470</v>
      </c>
      <c r="R84" s="613">
        <v>1569594</v>
      </c>
      <c r="S84" s="484">
        <f t="shared" si="29"/>
        <v>7780262</v>
      </c>
      <c r="T84" s="485">
        <f t="shared" si="30"/>
        <v>2.136904726263346</v>
      </c>
      <c r="U84" s="500">
        <f t="shared" si="28"/>
        <v>0</v>
      </c>
    </row>
    <row r="85" spans="1:21" s="501" customFormat="1" ht="24" customHeight="1">
      <c r="A85" s="425" t="s">
        <v>549</v>
      </c>
      <c r="B85" s="418" t="s">
        <v>517</v>
      </c>
      <c r="C85" s="613">
        <v>42178813</v>
      </c>
      <c r="D85" s="520">
        <v>22776917</v>
      </c>
      <c r="E85" s="520">
        <v>19401896</v>
      </c>
      <c r="F85" s="520">
        <v>2221661</v>
      </c>
      <c r="G85" s="520">
        <v>0</v>
      </c>
      <c r="H85" s="613">
        <v>39957152</v>
      </c>
      <c r="I85" s="613">
        <v>39644028</v>
      </c>
      <c r="J85" s="520">
        <v>1721550</v>
      </c>
      <c r="K85" s="520">
        <v>0</v>
      </c>
      <c r="L85" s="520">
        <v>0</v>
      </c>
      <c r="M85" s="520">
        <v>37785327</v>
      </c>
      <c r="N85" s="520">
        <v>137151</v>
      </c>
      <c r="O85" s="520">
        <v>0</v>
      </c>
      <c r="P85" s="520">
        <v>0</v>
      </c>
      <c r="Q85" s="520">
        <v>0</v>
      </c>
      <c r="R85" s="613">
        <v>313124</v>
      </c>
      <c r="S85" s="484">
        <f t="shared" si="29"/>
        <v>38235602</v>
      </c>
      <c r="T85" s="485">
        <f t="shared" si="30"/>
        <v>4.342520391722052</v>
      </c>
      <c r="U85" s="500">
        <f t="shared" si="28"/>
        <v>0</v>
      </c>
    </row>
    <row r="86" spans="1:21" s="501" customFormat="1" ht="24" customHeight="1">
      <c r="A86" s="425" t="s">
        <v>518</v>
      </c>
      <c r="B86" s="418" t="s">
        <v>519</v>
      </c>
      <c r="C86" s="613">
        <v>78120623</v>
      </c>
      <c r="D86" s="520">
        <v>6050377</v>
      </c>
      <c r="E86" s="520">
        <v>72070246</v>
      </c>
      <c r="F86" s="520">
        <v>1338523</v>
      </c>
      <c r="G86" s="520">
        <v>0</v>
      </c>
      <c r="H86" s="613">
        <v>76782100</v>
      </c>
      <c r="I86" s="613">
        <v>73567499</v>
      </c>
      <c r="J86" s="520">
        <v>553389</v>
      </c>
      <c r="K86" s="520">
        <v>5050</v>
      </c>
      <c r="L86" s="520">
        <v>0</v>
      </c>
      <c r="M86" s="520">
        <v>72858636</v>
      </c>
      <c r="N86" s="520">
        <v>150024</v>
      </c>
      <c r="O86" s="520">
        <v>0</v>
      </c>
      <c r="P86" s="520">
        <v>0</v>
      </c>
      <c r="Q86" s="520">
        <v>400</v>
      </c>
      <c r="R86" s="613">
        <v>3214601</v>
      </c>
      <c r="S86" s="484">
        <f t="shared" si="29"/>
        <v>76223661</v>
      </c>
      <c r="T86" s="485">
        <f t="shared" si="30"/>
        <v>0.7590838448918863</v>
      </c>
      <c r="U86" s="500">
        <f t="shared" si="28"/>
        <v>0</v>
      </c>
    </row>
    <row r="87" spans="1:21" s="501" customFormat="1" ht="24" customHeight="1">
      <c r="A87" s="425" t="s">
        <v>520</v>
      </c>
      <c r="B87" s="418" t="s">
        <v>521</v>
      </c>
      <c r="C87" s="614">
        <v>22471130</v>
      </c>
      <c r="D87" s="521">
        <v>5193238</v>
      </c>
      <c r="E87" s="521">
        <v>17277892</v>
      </c>
      <c r="F87" s="521">
        <v>0</v>
      </c>
      <c r="G87" s="521">
        <v>0</v>
      </c>
      <c r="H87" s="614">
        <v>22471130</v>
      </c>
      <c r="I87" s="614">
        <v>12205570</v>
      </c>
      <c r="J87" s="521">
        <v>405810</v>
      </c>
      <c r="K87" s="521">
        <v>0</v>
      </c>
      <c r="L87" s="521">
        <v>0</v>
      </c>
      <c r="M87" s="521">
        <v>11799760</v>
      </c>
      <c r="N87" s="521">
        <v>0</v>
      </c>
      <c r="O87" s="521">
        <v>0</v>
      </c>
      <c r="P87" s="521">
        <v>0</v>
      </c>
      <c r="Q87" s="521">
        <v>0</v>
      </c>
      <c r="R87" s="614">
        <v>10265560</v>
      </c>
      <c r="S87" s="484">
        <f t="shared" si="29"/>
        <v>22065320</v>
      </c>
      <c r="T87" s="485">
        <f t="shared" si="30"/>
        <v>3.3247935164027567</v>
      </c>
      <c r="U87" s="500">
        <f t="shared" si="28"/>
        <v>0</v>
      </c>
    </row>
    <row r="88" spans="1:21" s="501" customFormat="1" ht="24" customHeight="1">
      <c r="A88" s="425" t="s">
        <v>522</v>
      </c>
      <c r="B88" s="418" t="s">
        <v>523</v>
      </c>
      <c r="C88" s="613">
        <v>55015254</v>
      </c>
      <c r="D88" s="520">
        <v>53591179</v>
      </c>
      <c r="E88" s="520">
        <v>1424075</v>
      </c>
      <c r="F88" s="520">
        <v>35650</v>
      </c>
      <c r="G88" s="520">
        <v>0</v>
      </c>
      <c r="H88" s="613">
        <v>54979604</v>
      </c>
      <c r="I88" s="613">
        <v>45222062</v>
      </c>
      <c r="J88" s="520">
        <v>642813</v>
      </c>
      <c r="K88" s="520">
        <v>650</v>
      </c>
      <c r="L88" s="520">
        <v>0</v>
      </c>
      <c r="M88" s="520">
        <v>44578599</v>
      </c>
      <c r="N88" s="520">
        <v>0</v>
      </c>
      <c r="O88" s="520">
        <v>0</v>
      </c>
      <c r="P88" s="520">
        <v>0</v>
      </c>
      <c r="Q88" s="520">
        <v>0</v>
      </c>
      <c r="R88" s="613">
        <v>9757542</v>
      </c>
      <c r="S88" s="484">
        <f t="shared" si="29"/>
        <v>54336141</v>
      </c>
      <c r="T88" s="485">
        <f t="shared" si="30"/>
        <v>1.4228961961088815</v>
      </c>
      <c r="U88" s="500">
        <f t="shared" si="28"/>
        <v>0</v>
      </c>
    </row>
    <row r="89" spans="1:21" s="501" customFormat="1" ht="24" customHeight="1">
      <c r="A89" s="425" t="s">
        <v>524</v>
      </c>
      <c r="B89" s="418" t="s">
        <v>525</v>
      </c>
      <c r="C89" s="613">
        <v>8942004</v>
      </c>
      <c r="D89" s="520">
        <v>2970079</v>
      </c>
      <c r="E89" s="520">
        <v>5971925</v>
      </c>
      <c r="F89" s="520">
        <v>21670</v>
      </c>
      <c r="G89" s="520">
        <v>0</v>
      </c>
      <c r="H89" s="613">
        <v>8920334</v>
      </c>
      <c r="I89" s="613">
        <v>7744502</v>
      </c>
      <c r="J89" s="520">
        <v>224911</v>
      </c>
      <c r="K89" s="520">
        <v>4890</v>
      </c>
      <c r="L89" s="520">
        <v>0</v>
      </c>
      <c r="M89" s="520">
        <v>7514701</v>
      </c>
      <c r="N89" s="520">
        <v>0</v>
      </c>
      <c r="O89" s="520">
        <v>0</v>
      </c>
      <c r="P89" s="520">
        <v>0</v>
      </c>
      <c r="Q89" s="520">
        <v>0</v>
      </c>
      <c r="R89" s="613">
        <v>1175832</v>
      </c>
      <c r="S89" s="484">
        <f t="shared" si="29"/>
        <v>8690533</v>
      </c>
      <c r="T89" s="485">
        <f t="shared" si="30"/>
        <v>2.967279238871654</v>
      </c>
      <c r="U89" s="500">
        <f t="shared" si="28"/>
        <v>0</v>
      </c>
    </row>
    <row r="90" spans="1:21" s="422" customFormat="1" ht="24" customHeight="1">
      <c r="A90" s="428">
        <v>11</v>
      </c>
      <c r="B90" s="421" t="s">
        <v>526</v>
      </c>
      <c r="C90" s="496">
        <f>C91+C92</f>
        <v>15905592</v>
      </c>
      <c r="D90" s="497">
        <f aca="true" t="shared" si="32" ref="D90:Q90">D91+D92</f>
        <v>11605126</v>
      </c>
      <c r="E90" s="497">
        <f t="shared" si="32"/>
        <v>4300466</v>
      </c>
      <c r="F90" s="497">
        <f t="shared" si="32"/>
        <v>20400</v>
      </c>
      <c r="G90" s="497">
        <f t="shared" si="32"/>
        <v>0</v>
      </c>
      <c r="H90" s="496">
        <f t="shared" si="32"/>
        <v>15885192</v>
      </c>
      <c r="I90" s="496">
        <f t="shared" si="32"/>
        <v>13410231</v>
      </c>
      <c r="J90" s="497">
        <f t="shared" si="32"/>
        <v>3149527</v>
      </c>
      <c r="K90" s="497">
        <f t="shared" si="32"/>
        <v>56530</v>
      </c>
      <c r="L90" s="497">
        <f t="shared" si="32"/>
        <v>0</v>
      </c>
      <c r="M90" s="497">
        <f t="shared" si="32"/>
        <v>9965100</v>
      </c>
      <c r="N90" s="497">
        <f t="shared" si="32"/>
        <v>0</v>
      </c>
      <c r="O90" s="497">
        <f t="shared" si="32"/>
        <v>0</v>
      </c>
      <c r="P90" s="497">
        <f t="shared" si="32"/>
        <v>0</v>
      </c>
      <c r="Q90" s="497">
        <f t="shared" si="32"/>
        <v>239074</v>
      </c>
      <c r="R90" s="496">
        <f>R91+R92</f>
        <v>2474961</v>
      </c>
      <c r="S90" s="627">
        <f t="shared" si="29"/>
        <v>12679135</v>
      </c>
      <c r="T90" s="483">
        <f t="shared" si="30"/>
        <v>23.907544918502897</v>
      </c>
      <c r="U90" s="500">
        <f t="shared" si="28"/>
        <v>0</v>
      </c>
    </row>
    <row r="91" spans="1:21" s="501" customFormat="1" ht="24" customHeight="1">
      <c r="A91" s="425" t="s">
        <v>527</v>
      </c>
      <c r="B91" s="419" t="s">
        <v>528</v>
      </c>
      <c r="C91" s="615">
        <v>9296182</v>
      </c>
      <c r="D91" s="522">
        <v>6094879</v>
      </c>
      <c r="E91" s="522">
        <v>3201303</v>
      </c>
      <c r="F91" s="522">
        <v>20400</v>
      </c>
      <c r="G91" s="522"/>
      <c r="H91" s="615">
        <v>9275782</v>
      </c>
      <c r="I91" s="615">
        <v>7372252</v>
      </c>
      <c r="J91" s="522">
        <v>147543</v>
      </c>
      <c r="K91" s="522">
        <v>56530</v>
      </c>
      <c r="L91" s="522"/>
      <c r="M91" s="522">
        <v>6983705</v>
      </c>
      <c r="N91" s="522"/>
      <c r="O91" s="522"/>
      <c r="P91" s="522"/>
      <c r="Q91" s="523">
        <v>184474</v>
      </c>
      <c r="R91" s="624">
        <v>1903530</v>
      </c>
      <c r="S91" s="484">
        <f t="shared" si="29"/>
        <v>9071709</v>
      </c>
      <c r="T91" s="485">
        <f t="shared" si="30"/>
        <v>2.7681229561876073</v>
      </c>
      <c r="U91" s="500">
        <f t="shared" si="28"/>
        <v>0</v>
      </c>
    </row>
    <row r="92" spans="1:21" s="501" customFormat="1" ht="24" customHeight="1">
      <c r="A92" s="425" t="s">
        <v>529</v>
      </c>
      <c r="B92" s="419" t="s">
        <v>530</v>
      </c>
      <c r="C92" s="615">
        <v>6609410</v>
      </c>
      <c r="D92" s="522">
        <v>5510247</v>
      </c>
      <c r="E92" s="522">
        <v>1099163</v>
      </c>
      <c r="F92" s="522"/>
      <c r="G92" s="522"/>
      <c r="H92" s="615">
        <v>6609410</v>
      </c>
      <c r="I92" s="615">
        <v>6037979</v>
      </c>
      <c r="J92" s="522">
        <v>3001984</v>
      </c>
      <c r="K92" s="522"/>
      <c r="L92" s="522"/>
      <c r="M92" s="522">
        <v>2981395</v>
      </c>
      <c r="N92" s="522"/>
      <c r="O92" s="522"/>
      <c r="P92" s="522"/>
      <c r="Q92" s="523">
        <v>54600</v>
      </c>
      <c r="R92" s="624">
        <v>571431</v>
      </c>
      <c r="S92" s="484">
        <f t="shared" si="29"/>
        <v>3607426</v>
      </c>
      <c r="T92" s="485">
        <f t="shared" si="30"/>
        <v>49.71835774851155</v>
      </c>
      <c r="U92" s="500">
        <f t="shared" si="28"/>
        <v>0</v>
      </c>
    </row>
    <row r="93" spans="1:21" s="422" customFormat="1" ht="24" customHeight="1">
      <c r="A93" s="428">
        <v>12</v>
      </c>
      <c r="B93" s="421" t="s">
        <v>531</v>
      </c>
      <c r="C93" s="496">
        <f>C94+C95</f>
        <v>30554109</v>
      </c>
      <c r="D93" s="497">
        <f aca="true" t="shared" si="33" ref="D93:R93">D94+D95</f>
        <v>2478465</v>
      </c>
      <c r="E93" s="497">
        <f t="shared" si="33"/>
        <v>28075644</v>
      </c>
      <c r="F93" s="497">
        <f t="shared" si="33"/>
        <v>36100</v>
      </c>
      <c r="G93" s="497">
        <f t="shared" si="33"/>
        <v>0</v>
      </c>
      <c r="H93" s="496">
        <f t="shared" si="33"/>
        <v>30518009</v>
      </c>
      <c r="I93" s="496">
        <f t="shared" si="33"/>
        <v>29360643</v>
      </c>
      <c r="J93" s="497">
        <f t="shared" si="33"/>
        <v>8360682</v>
      </c>
      <c r="K93" s="497">
        <f t="shared" si="33"/>
        <v>1910594</v>
      </c>
      <c r="L93" s="497">
        <f t="shared" si="33"/>
        <v>0</v>
      </c>
      <c r="M93" s="497">
        <f>I93-J93-K93-N93</f>
        <v>14544001</v>
      </c>
      <c r="N93" s="497">
        <f t="shared" si="33"/>
        <v>4545366</v>
      </c>
      <c r="O93" s="497">
        <f t="shared" si="33"/>
        <v>0</v>
      </c>
      <c r="P93" s="497">
        <f t="shared" si="33"/>
        <v>0</v>
      </c>
      <c r="Q93" s="497">
        <f t="shared" si="33"/>
        <v>0</v>
      </c>
      <c r="R93" s="496">
        <f t="shared" si="33"/>
        <v>1157366</v>
      </c>
      <c r="S93" s="627">
        <f t="shared" si="29"/>
        <v>20246733</v>
      </c>
      <c r="T93" s="483">
        <f t="shared" si="30"/>
        <v>34.98314393182738</v>
      </c>
      <c r="U93" s="500">
        <f t="shared" si="28"/>
        <v>0</v>
      </c>
    </row>
    <row r="94" spans="1:21" s="501" customFormat="1" ht="24" customHeight="1">
      <c r="A94" s="425">
        <v>12.1</v>
      </c>
      <c r="B94" s="419" t="s">
        <v>555</v>
      </c>
      <c r="C94" s="616">
        <f>D94+E94</f>
        <v>20525679</v>
      </c>
      <c r="D94" s="516">
        <v>611316</v>
      </c>
      <c r="E94" s="516">
        <v>19914363</v>
      </c>
      <c r="F94" s="516">
        <v>5000</v>
      </c>
      <c r="G94" s="516">
        <v>0</v>
      </c>
      <c r="H94" s="611">
        <f>C94-F94-G94</f>
        <v>20520679</v>
      </c>
      <c r="I94" s="611">
        <f>H94-R94</f>
        <v>19945848</v>
      </c>
      <c r="J94" s="516">
        <v>6649557</v>
      </c>
      <c r="K94" s="516">
        <v>1303903</v>
      </c>
      <c r="L94" s="516"/>
      <c r="M94" s="516">
        <f>I94-J94-K94-N94</f>
        <v>11992388</v>
      </c>
      <c r="N94" s="516"/>
      <c r="O94" s="516"/>
      <c r="P94" s="516"/>
      <c r="Q94" s="516"/>
      <c r="R94" s="611">
        <v>574831</v>
      </c>
      <c r="S94" s="484">
        <f t="shared" si="29"/>
        <v>12567219</v>
      </c>
      <c r="T94" s="485">
        <f t="shared" si="30"/>
        <v>39.87526627095524</v>
      </c>
      <c r="U94" s="500">
        <f t="shared" si="28"/>
        <v>0</v>
      </c>
    </row>
    <row r="95" spans="1:21" s="501" customFormat="1" ht="24" customHeight="1">
      <c r="A95" s="425">
        <v>12.2</v>
      </c>
      <c r="B95" s="419" t="s">
        <v>532</v>
      </c>
      <c r="C95" s="616">
        <f>D95+E95</f>
        <v>10028430</v>
      </c>
      <c r="D95" s="516">
        <v>1867149</v>
      </c>
      <c r="E95" s="516">
        <v>8161281</v>
      </c>
      <c r="F95" s="516">
        <v>31100</v>
      </c>
      <c r="G95" s="516">
        <v>0</v>
      </c>
      <c r="H95" s="611">
        <f>C95-F95-G95</f>
        <v>9997330</v>
      </c>
      <c r="I95" s="611">
        <f>H95-R95</f>
        <v>9414795</v>
      </c>
      <c r="J95" s="516">
        <v>1711125</v>
      </c>
      <c r="K95" s="516">
        <v>606691</v>
      </c>
      <c r="L95" s="516"/>
      <c r="M95" s="516">
        <f>I95-J95-K95-N95</f>
        <v>2551613</v>
      </c>
      <c r="N95" s="516">
        <v>4545366</v>
      </c>
      <c r="O95" s="516"/>
      <c r="P95" s="516"/>
      <c r="Q95" s="516"/>
      <c r="R95" s="611">
        <v>582535</v>
      </c>
      <c r="S95" s="484">
        <f t="shared" si="29"/>
        <v>7679514</v>
      </c>
      <c r="T95" s="485">
        <f t="shared" si="30"/>
        <v>24.618868493684673</v>
      </c>
      <c r="U95" s="500">
        <f t="shared" si="28"/>
        <v>0</v>
      </c>
    </row>
    <row r="96" spans="1:21" s="422" customFormat="1" ht="24" customHeight="1">
      <c r="A96" s="429">
        <v>13</v>
      </c>
      <c r="B96" s="421" t="s">
        <v>533</v>
      </c>
      <c r="C96" s="486">
        <f>SUM(C97:C107)</f>
        <v>444741200</v>
      </c>
      <c r="D96" s="487">
        <f aca="true" t="shared" si="34" ref="D96:R96">SUM(D97:D107)</f>
        <v>341899792</v>
      </c>
      <c r="E96" s="487">
        <f t="shared" si="34"/>
        <v>102841408</v>
      </c>
      <c r="F96" s="487">
        <f t="shared" si="34"/>
        <v>2454196</v>
      </c>
      <c r="G96" s="487">
        <f t="shared" si="34"/>
        <v>36516896</v>
      </c>
      <c r="H96" s="486">
        <f t="shared" si="34"/>
        <v>442287004</v>
      </c>
      <c r="I96" s="486">
        <f t="shared" si="34"/>
        <v>426884058</v>
      </c>
      <c r="J96" s="487">
        <f t="shared" si="34"/>
        <v>36753217</v>
      </c>
      <c r="K96" s="487">
        <f t="shared" si="34"/>
        <v>8434651</v>
      </c>
      <c r="L96" s="487">
        <f t="shared" si="34"/>
        <v>0</v>
      </c>
      <c r="M96" s="487">
        <f t="shared" si="34"/>
        <v>381696190</v>
      </c>
      <c r="N96" s="487">
        <f t="shared" si="34"/>
        <v>0</v>
      </c>
      <c r="O96" s="487">
        <f t="shared" si="34"/>
        <v>0</v>
      </c>
      <c r="P96" s="487">
        <f t="shared" si="34"/>
        <v>0</v>
      </c>
      <c r="Q96" s="487">
        <f t="shared" si="34"/>
        <v>0</v>
      </c>
      <c r="R96" s="486">
        <f t="shared" si="34"/>
        <v>15402946</v>
      </c>
      <c r="S96" s="627">
        <f t="shared" si="29"/>
        <v>397099136</v>
      </c>
      <c r="T96" s="483">
        <f t="shared" si="30"/>
        <v>10.585513127782345</v>
      </c>
      <c r="U96" s="500">
        <f t="shared" si="28"/>
        <v>0</v>
      </c>
    </row>
    <row r="97" spans="1:21" s="501" customFormat="1" ht="24" customHeight="1">
      <c r="A97" s="425">
        <v>13.1</v>
      </c>
      <c r="B97" s="524" t="s">
        <v>534</v>
      </c>
      <c r="C97" s="617">
        <f>D97+E97</f>
        <v>11086833</v>
      </c>
      <c r="D97" s="507">
        <v>7167849</v>
      </c>
      <c r="E97" s="507">
        <v>3918984</v>
      </c>
      <c r="F97" s="507">
        <v>2448746</v>
      </c>
      <c r="G97" s="507">
        <v>15035398</v>
      </c>
      <c r="H97" s="617">
        <f>I97+R97</f>
        <v>8638087</v>
      </c>
      <c r="I97" s="617">
        <f>J97+K97+L97+M97+N97+O97+P97+Q97</f>
        <v>8629103</v>
      </c>
      <c r="J97" s="507">
        <v>2130342</v>
      </c>
      <c r="K97" s="507">
        <v>86023</v>
      </c>
      <c r="L97" s="507">
        <v>0</v>
      </c>
      <c r="M97" s="507">
        <v>6412738</v>
      </c>
      <c r="N97" s="507">
        <v>0</v>
      </c>
      <c r="O97" s="507">
        <v>0</v>
      </c>
      <c r="P97" s="507">
        <v>0</v>
      </c>
      <c r="Q97" s="507">
        <v>0</v>
      </c>
      <c r="R97" s="620">
        <v>8984</v>
      </c>
      <c r="S97" s="484">
        <f t="shared" si="29"/>
        <v>6421722</v>
      </c>
      <c r="T97" s="485">
        <f t="shared" si="30"/>
        <v>25.684767003012944</v>
      </c>
      <c r="U97" s="500">
        <f t="shared" si="28"/>
        <v>0</v>
      </c>
    </row>
    <row r="98" spans="1:21" s="501" customFormat="1" ht="24" customHeight="1">
      <c r="A98" s="425">
        <v>13.2</v>
      </c>
      <c r="B98" s="524" t="s">
        <v>535</v>
      </c>
      <c r="C98" s="617">
        <f aca="true" t="shared" si="35" ref="C98:C107">D98+E98</f>
        <v>54210906</v>
      </c>
      <c r="D98" s="507">
        <v>53496362</v>
      </c>
      <c r="E98" s="507">
        <v>714544</v>
      </c>
      <c r="F98" s="507">
        <v>0</v>
      </c>
      <c r="G98" s="507">
        <v>12732740</v>
      </c>
      <c r="H98" s="617">
        <f aca="true" t="shared" si="36" ref="H98:H107">I98+R98</f>
        <v>54210906</v>
      </c>
      <c r="I98" s="617">
        <f aca="true" t="shared" si="37" ref="I98:I107">J98+K98+L98+M98+N98+O98+P98+Q98</f>
        <v>53036736</v>
      </c>
      <c r="J98" s="507">
        <v>2841194</v>
      </c>
      <c r="K98" s="507">
        <v>8050</v>
      </c>
      <c r="L98" s="507">
        <v>0</v>
      </c>
      <c r="M98" s="507">
        <v>50187492</v>
      </c>
      <c r="N98" s="507">
        <v>0</v>
      </c>
      <c r="O98" s="507">
        <v>0</v>
      </c>
      <c r="P98" s="507">
        <v>0</v>
      </c>
      <c r="Q98" s="507">
        <v>0</v>
      </c>
      <c r="R98" s="620">
        <v>1174170</v>
      </c>
      <c r="S98" s="484">
        <f t="shared" si="29"/>
        <v>51361662</v>
      </c>
      <c r="T98" s="485">
        <f t="shared" si="30"/>
        <v>5.3722084254958675</v>
      </c>
      <c r="U98" s="500">
        <f t="shared" si="28"/>
        <v>0</v>
      </c>
    </row>
    <row r="99" spans="1:21" s="501" customFormat="1" ht="24" customHeight="1">
      <c r="A99" s="425">
        <v>13.3</v>
      </c>
      <c r="B99" s="524" t="s">
        <v>565</v>
      </c>
      <c r="C99" s="617">
        <f t="shared" si="35"/>
        <v>91402105</v>
      </c>
      <c r="D99" s="507">
        <f>77997535-5560796</f>
        <v>72436739</v>
      </c>
      <c r="E99" s="507">
        <v>18965366</v>
      </c>
      <c r="F99" s="507">
        <v>0</v>
      </c>
      <c r="G99" s="507">
        <v>5560796</v>
      </c>
      <c r="H99" s="617">
        <f t="shared" si="36"/>
        <v>91402105</v>
      </c>
      <c r="I99" s="617">
        <f t="shared" si="37"/>
        <v>87638217</v>
      </c>
      <c r="J99" s="507">
        <v>10859385</v>
      </c>
      <c r="K99" s="507">
        <v>3886909</v>
      </c>
      <c r="L99" s="507">
        <v>0</v>
      </c>
      <c r="M99" s="507">
        <v>72891923</v>
      </c>
      <c r="N99" s="507">
        <v>0</v>
      </c>
      <c r="O99" s="507">
        <v>0</v>
      </c>
      <c r="P99" s="507">
        <v>0</v>
      </c>
      <c r="Q99" s="507">
        <v>0</v>
      </c>
      <c r="R99" s="620">
        <v>3763888</v>
      </c>
      <c r="S99" s="484">
        <f t="shared" si="29"/>
        <v>76655811</v>
      </c>
      <c r="T99" s="485">
        <f t="shared" si="30"/>
        <v>16.82632817598286</v>
      </c>
      <c r="U99" s="500">
        <f t="shared" si="28"/>
        <v>0</v>
      </c>
    </row>
    <row r="100" spans="1:21" s="501" customFormat="1" ht="24" customHeight="1">
      <c r="A100" s="425">
        <v>13.4</v>
      </c>
      <c r="B100" s="525" t="s">
        <v>566</v>
      </c>
      <c r="C100" s="617">
        <f t="shared" si="35"/>
        <v>73611881</v>
      </c>
      <c r="D100" s="507">
        <v>66697123</v>
      </c>
      <c r="E100" s="507">
        <v>6914758</v>
      </c>
      <c r="F100" s="507">
        <v>0</v>
      </c>
      <c r="G100" s="507">
        <v>0</v>
      </c>
      <c r="H100" s="617">
        <f t="shared" si="36"/>
        <v>73611881</v>
      </c>
      <c r="I100" s="617">
        <f t="shared" si="37"/>
        <v>72529284</v>
      </c>
      <c r="J100" s="507">
        <v>8971564</v>
      </c>
      <c r="K100" s="507">
        <v>3104849</v>
      </c>
      <c r="L100" s="507">
        <v>0</v>
      </c>
      <c r="M100" s="507">
        <v>60452871</v>
      </c>
      <c r="N100" s="507">
        <v>0</v>
      </c>
      <c r="O100" s="507">
        <v>0</v>
      </c>
      <c r="P100" s="507">
        <v>0</v>
      </c>
      <c r="Q100" s="507">
        <v>0</v>
      </c>
      <c r="R100" s="620">
        <v>1082597</v>
      </c>
      <c r="S100" s="484">
        <f t="shared" si="29"/>
        <v>61535468</v>
      </c>
      <c r="T100" s="485">
        <f t="shared" si="30"/>
        <v>16.650395997291245</v>
      </c>
      <c r="U100" s="500">
        <f t="shared" si="28"/>
        <v>0</v>
      </c>
    </row>
    <row r="101" spans="1:21" s="501" customFormat="1" ht="24" customHeight="1">
      <c r="A101" s="425">
        <v>13.5</v>
      </c>
      <c r="B101" s="526" t="s">
        <v>567</v>
      </c>
      <c r="C101" s="617">
        <f t="shared" si="35"/>
        <v>41605190</v>
      </c>
      <c r="D101" s="507">
        <v>24655951</v>
      </c>
      <c r="E101" s="507">
        <v>16949239</v>
      </c>
      <c r="F101" s="507">
        <v>0</v>
      </c>
      <c r="G101" s="507">
        <v>3187962</v>
      </c>
      <c r="H101" s="617">
        <f t="shared" si="36"/>
        <v>41605190</v>
      </c>
      <c r="I101" s="617">
        <f>J101+K101+L101+M101+N101+O101+P101+Q101</f>
        <v>40932137</v>
      </c>
      <c r="J101" s="507">
        <v>2147451</v>
      </c>
      <c r="K101" s="507">
        <v>266631</v>
      </c>
      <c r="L101" s="507">
        <v>0</v>
      </c>
      <c r="M101" s="507">
        <v>38518055</v>
      </c>
      <c r="N101" s="507">
        <v>0</v>
      </c>
      <c r="O101" s="507">
        <v>0</v>
      </c>
      <c r="P101" s="507">
        <v>0</v>
      </c>
      <c r="Q101" s="507">
        <v>0</v>
      </c>
      <c r="R101" s="620">
        <v>673053</v>
      </c>
      <c r="S101" s="484">
        <f t="shared" si="29"/>
        <v>39191108</v>
      </c>
      <c r="T101" s="485">
        <f t="shared" si="30"/>
        <v>5.897766832941071</v>
      </c>
      <c r="U101" s="500">
        <f t="shared" si="28"/>
        <v>0</v>
      </c>
    </row>
    <row r="102" spans="1:21" s="501" customFormat="1" ht="24" customHeight="1">
      <c r="A102" s="425">
        <v>13.6</v>
      </c>
      <c r="B102" s="526" t="s">
        <v>568</v>
      </c>
      <c r="C102" s="617">
        <f t="shared" si="35"/>
        <v>53218973</v>
      </c>
      <c r="D102" s="507">
        <v>37795342</v>
      </c>
      <c r="E102" s="507">
        <v>15423631</v>
      </c>
      <c r="F102" s="507">
        <v>0</v>
      </c>
      <c r="G102" s="507">
        <v>0</v>
      </c>
      <c r="H102" s="617">
        <f t="shared" si="36"/>
        <v>53218973</v>
      </c>
      <c r="I102" s="617">
        <f t="shared" si="37"/>
        <v>50706727</v>
      </c>
      <c r="J102" s="507">
        <v>5029844</v>
      </c>
      <c r="K102" s="507">
        <v>279719</v>
      </c>
      <c r="L102" s="507">
        <v>0</v>
      </c>
      <c r="M102" s="507">
        <v>45397164</v>
      </c>
      <c r="N102" s="507">
        <v>0</v>
      </c>
      <c r="O102" s="507">
        <v>0</v>
      </c>
      <c r="P102" s="507">
        <v>0</v>
      </c>
      <c r="Q102" s="507">
        <v>0</v>
      </c>
      <c r="R102" s="620">
        <v>2512246</v>
      </c>
      <c r="S102" s="484">
        <f t="shared" si="29"/>
        <v>47909410</v>
      </c>
      <c r="T102" s="485">
        <f t="shared" si="30"/>
        <v>10.471121514113896</v>
      </c>
      <c r="U102" s="500">
        <f t="shared" si="28"/>
        <v>0</v>
      </c>
    </row>
    <row r="103" spans="1:21" s="501" customFormat="1" ht="24" customHeight="1">
      <c r="A103" s="425">
        <v>13.7</v>
      </c>
      <c r="B103" s="526" t="s">
        <v>569</v>
      </c>
      <c r="C103" s="617">
        <f t="shared" si="35"/>
        <v>28136755</v>
      </c>
      <c r="D103" s="507">
        <v>22843204</v>
      </c>
      <c r="E103" s="507">
        <v>5293551</v>
      </c>
      <c r="F103" s="507">
        <v>0</v>
      </c>
      <c r="G103" s="507">
        <v>0</v>
      </c>
      <c r="H103" s="617">
        <f t="shared" si="36"/>
        <v>28136755</v>
      </c>
      <c r="I103" s="617">
        <f t="shared" si="37"/>
        <v>26966841</v>
      </c>
      <c r="J103" s="507">
        <v>2831874</v>
      </c>
      <c r="K103" s="507">
        <v>800998</v>
      </c>
      <c r="L103" s="507">
        <v>0</v>
      </c>
      <c r="M103" s="507">
        <v>23333969</v>
      </c>
      <c r="N103" s="507">
        <v>0</v>
      </c>
      <c r="O103" s="507">
        <v>0</v>
      </c>
      <c r="P103" s="507">
        <v>0</v>
      </c>
      <c r="Q103" s="507">
        <v>0</v>
      </c>
      <c r="R103" s="620">
        <v>1169914</v>
      </c>
      <c r="S103" s="484">
        <f t="shared" si="29"/>
        <v>24503883</v>
      </c>
      <c r="T103" s="485">
        <f t="shared" si="30"/>
        <v>13.471626135222884</v>
      </c>
      <c r="U103" s="500">
        <f t="shared" si="28"/>
        <v>0</v>
      </c>
    </row>
    <row r="104" spans="1:21" s="501" customFormat="1" ht="24" customHeight="1">
      <c r="A104" s="425">
        <v>13.8</v>
      </c>
      <c r="B104" s="524" t="s">
        <v>570</v>
      </c>
      <c r="C104" s="617">
        <f t="shared" si="35"/>
        <v>48659556</v>
      </c>
      <c r="D104" s="507">
        <v>18927848</v>
      </c>
      <c r="E104" s="507">
        <v>29731708</v>
      </c>
      <c r="F104" s="507">
        <v>5450</v>
      </c>
      <c r="G104" s="507">
        <v>0</v>
      </c>
      <c r="H104" s="617">
        <f t="shared" si="36"/>
        <v>48654106</v>
      </c>
      <c r="I104" s="617">
        <f t="shared" si="37"/>
        <v>47230672</v>
      </c>
      <c r="J104" s="507">
        <v>1858156</v>
      </c>
      <c r="K104" s="507">
        <v>0</v>
      </c>
      <c r="L104" s="507">
        <v>0</v>
      </c>
      <c r="M104" s="507">
        <v>45372516</v>
      </c>
      <c r="N104" s="507">
        <v>0</v>
      </c>
      <c r="O104" s="507">
        <v>0</v>
      </c>
      <c r="P104" s="507">
        <v>0</v>
      </c>
      <c r="Q104" s="507">
        <v>0</v>
      </c>
      <c r="R104" s="620">
        <v>1423434</v>
      </c>
      <c r="S104" s="484">
        <f t="shared" si="29"/>
        <v>46795950</v>
      </c>
      <c r="T104" s="485">
        <f t="shared" si="30"/>
        <v>3.9342146137577716</v>
      </c>
      <c r="U104" s="500">
        <f t="shared" si="28"/>
        <v>0</v>
      </c>
    </row>
    <row r="105" spans="1:21" s="501" customFormat="1" ht="24" customHeight="1">
      <c r="A105" s="425">
        <v>13.9</v>
      </c>
      <c r="B105" s="524" t="s">
        <v>571</v>
      </c>
      <c r="C105" s="617">
        <f t="shared" si="35"/>
        <v>3985654</v>
      </c>
      <c r="D105" s="507">
        <v>3855096</v>
      </c>
      <c r="E105" s="507">
        <v>130558</v>
      </c>
      <c r="F105" s="507">
        <v>0</v>
      </c>
      <c r="G105" s="507">
        <v>0</v>
      </c>
      <c r="H105" s="617">
        <f t="shared" si="36"/>
        <v>3985654</v>
      </c>
      <c r="I105" s="617">
        <f t="shared" si="37"/>
        <v>2374888</v>
      </c>
      <c r="J105" s="507">
        <v>3900</v>
      </c>
      <c r="K105" s="507">
        <v>0</v>
      </c>
      <c r="L105" s="507">
        <v>0</v>
      </c>
      <c r="M105" s="507">
        <v>2370988</v>
      </c>
      <c r="N105" s="507">
        <v>0</v>
      </c>
      <c r="O105" s="507">
        <v>0</v>
      </c>
      <c r="P105" s="507">
        <v>0</v>
      </c>
      <c r="Q105" s="507">
        <v>0</v>
      </c>
      <c r="R105" s="620">
        <v>1610766</v>
      </c>
      <c r="S105" s="484">
        <f t="shared" si="29"/>
        <v>3981754</v>
      </c>
      <c r="T105" s="485">
        <f t="shared" si="30"/>
        <v>0.16421827050370374</v>
      </c>
      <c r="U105" s="500">
        <f t="shared" si="28"/>
        <v>0</v>
      </c>
    </row>
    <row r="106" spans="1:21" s="501" customFormat="1" ht="24" customHeight="1">
      <c r="A106" s="425" t="s">
        <v>572</v>
      </c>
      <c r="B106" s="524" t="s">
        <v>573</v>
      </c>
      <c r="C106" s="617">
        <f t="shared" si="35"/>
        <v>32812219</v>
      </c>
      <c r="D106" s="507">
        <v>30146757</v>
      </c>
      <c r="E106" s="507">
        <v>2665462</v>
      </c>
      <c r="F106" s="507">
        <v>0</v>
      </c>
      <c r="G106" s="507">
        <v>0</v>
      </c>
      <c r="H106" s="617">
        <f t="shared" si="36"/>
        <v>32812219</v>
      </c>
      <c r="I106" s="617">
        <f t="shared" si="37"/>
        <v>31647408</v>
      </c>
      <c r="J106" s="507">
        <v>37862</v>
      </c>
      <c r="K106" s="507">
        <v>0</v>
      </c>
      <c r="L106" s="507">
        <v>0</v>
      </c>
      <c r="M106" s="507">
        <v>31609546</v>
      </c>
      <c r="N106" s="507">
        <v>0</v>
      </c>
      <c r="O106" s="507">
        <v>0</v>
      </c>
      <c r="P106" s="507">
        <v>0</v>
      </c>
      <c r="Q106" s="507">
        <v>0</v>
      </c>
      <c r="R106" s="620">
        <v>1164811</v>
      </c>
      <c r="S106" s="484">
        <f t="shared" si="29"/>
        <v>32774357</v>
      </c>
      <c r="T106" s="485">
        <f t="shared" si="30"/>
        <v>0.11963696995343188</v>
      </c>
      <c r="U106" s="500">
        <f t="shared" si="28"/>
        <v>0</v>
      </c>
    </row>
    <row r="107" spans="1:21" s="501" customFormat="1" ht="24" customHeight="1">
      <c r="A107" s="425" t="s">
        <v>574</v>
      </c>
      <c r="B107" s="524" t="s">
        <v>466</v>
      </c>
      <c r="C107" s="617">
        <f t="shared" si="35"/>
        <v>6011128</v>
      </c>
      <c r="D107" s="507">
        <v>3877521</v>
      </c>
      <c r="E107" s="507">
        <v>2133607</v>
      </c>
      <c r="F107" s="507">
        <v>0</v>
      </c>
      <c r="G107" s="507">
        <v>0</v>
      </c>
      <c r="H107" s="617">
        <f t="shared" si="36"/>
        <v>6011128</v>
      </c>
      <c r="I107" s="617">
        <f t="shared" si="37"/>
        <v>5192045</v>
      </c>
      <c r="J107" s="507">
        <v>41645</v>
      </c>
      <c r="K107" s="507">
        <v>1472</v>
      </c>
      <c r="L107" s="507">
        <v>0</v>
      </c>
      <c r="M107" s="507">
        <v>5148928</v>
      </c>
      <c r="N107" s="507">
        <v>0</v>
      </c>
      <c r="O107" s="507">
        <v>0</v>
      </c>
      <c r="P107" s="507">
        <v>0</v>
      </c>
      <c r="Q107" s="507">
        <v>0</v>
      </c>
      <c r="R107" s="620">
        <v>819083</v>
      </c>
      <c r="S107" s="484">
        <f t="shared" si="29"/>
        <v>5968011</v>
      </c>
      <c r="T107" s="485">
        <f t="shared" si="30"/>
        <v>0.8304434957709341</v>
      </c>
      <c r="U107" s="500">
        <f t="shared" si="28"/>
        <v>0</v>
      </c>
    </row>
    <row r="108" spans="1:21" s="422" customFormat="1" ht="24" customHeight="1">
      <c r="A108" s="428">
        <v>14</v>
      </c>
      <c r="B108" s="421" t="s">
        <v>536</v>
      </c>
      <c r="C108" s="496">
        <f>D108+E108</f>
        <v>14391421</v>
      </c>
      <c r="D108" s="497">
        <f>SUM(D109:D110)</f>
        <v>3076148</v>
      </c>
      <c r="E108" s="497">
        <f>SUM(E109:E110)</f>
        <v>11315273</v>
      </c>
      <c r="F108" s="497">
        <f>SUM(F109:F110)</f>
        <v>72310</v>
      </c>
      <c r="G108" s="497">
        <f>SUM(G109:G110)</f>
        <v>0</v>
      </c>
      <c r="H108" s="496">
        <f>I108+R108</f>
        <v>14319111</v>
      </c>
      <c r="I108" s="496">
        <f aca="true" t="shared" si="38" ref="I108:R108">SUM(I109:I110)</f>
        <v>6979878</v>
      </c>
      <c r="J108" s="497">
        <f t="shared" si="38"/>
        <v>1264951</v>
      </c>
      <c r="K108" s="497">
        <f t="shared" si="38"/>
        <v>603677</v>
      </c>
      <c r="L108" s="497">
        <f t="shared" si="38"/>
        <v>0</v>
      </c>
      <c r="M108" s="497">
        <f t="shared" si="38"/>
        <v>5111250</v>
      </c>
      <c r="N108" s="497">
        <f t="shared" si="38"/>
        <v>0</v>
      </c>
      <c r="O108" s="497">
        <f t="shared" si="38"/>
        <v>0</v>
      </c>
      <c r="P108" s="497">
        <f t="shared" si="38"/>
        <v>0</v>
      </c>
      <c r="Q108" s="497">
        <f t="shared" si="38"/>
        <v>0</v>
      </c>
      <c r="R108" s="496">
        <f t="shared" si="38"/>
        <v>7339233</v>
      </c>
      <c r="S108" s="627">
        <f t="shared" si="29"/>
        <v>12450483</v>
      </c>
      <c r="T108" s="483">
        <f t="shared" si="30"/>
        <v>26.77164271352594</v>
      </c>
      <c r="U108" s="500">
        <f t="shared" si="28"/>
        <v>0</v>
      </c>
    </row>
    <row r="109" spans="1:21" s="501" customFormat="1" ht="24" customHeight="1">
      <c r="A109" s="425" t="s">
        <v>537</v>
      </c>
      <c r="B109" s="419" t="s">
        <v>538</v>
      </c>
      <c r="C109" s="616">
        <f>D109+E109</f>
        <v>8548805</v>
      </c>
      <c r="D109" s="514">
        <v>2138931</v>
      </c>
      <c r="E109" s="514">
        <v>6409874</v>
      </c>
      <c r="F109" s="514">
        <v>72310</v>
      </c>
      <c r="G109" s="514">
        <v>0</v>
      </c>
      <c r="H109" s="618">
        <f>C109-F109-G109</f>
        <v>8476495</v>
      </c>
      <c r="I109" s="618">
        <f>SUM(J109,K109,L109,M109,N109,O109,P109,Q109)</f>
        <v>2925061</v>
      </c>
      <c r="J109" s="514">
        <v>861160</v>
      </c>
      <c r="K109" s="514">
        <v>226402</v>
      </c>
      <c r="L109" s="514">
        <v>0</v>
      </c>
      <c r="M109" s="514">
        <v>1837499</v>
      </c>
      <c r="N109" s="514">
        <v>0</v>
      </c>
      <c r="O109" s="515">
        <v>0</v>
      </c>
      <c r="P109" s="527">
        <v>0</v>
      </c>
      <c r="Q109" s="515">
        <v>0</v>
      </c>
      <c r="R109" s="625">
        <v>5551434</v>
      </c>
      <c r="S109" s="484">
        <f t="shared" si="29"/>
        <v>7388933</v>
      </c>
      <c r="T109" s="485">
        <f t="shared" si="30"/>
        <v>37.18083144248958</v>
      </c>
      <c r="U109" s="500">
        <f t="shared" si="28"/>
        <v>0</v>
      </c>
    </row>
    <row r="110" spans="1:21" s="501" customFormat="1" ht="24" customHeight="1">
      <c r="A110" s="425" t="s">
        <v>539</v>
      </c>
      <c r="B110" s="419" t="s">
        <v>540</v>
      </c>
      <c r="C110" s="616">
        <f>D110+E110</f>
        <v>5842616</v>
      </c>
      <c r="D110" s="514">
        <v>937217</v>
      </c>
      <c r="E110" s="514">
        <v>4905399</v>
      </c>
      <c r="F110" s="514">
        <v>0</v>
      </c>
      <c r="G110" s="514">
        <v>0</v>
      </c>
      <c r="H110" s="618">
        <f>C110-F110-G110</f>
        <v>5842616</v>
      </c>
      <c r="I110" s="618">
        <f>SUM(J110,K110,L110,M110,N110,O110,P110,Q110)</f>
        <v>4054817</v>
      </c>
      <c r="J110" s="514">
        <v>403791</v>
      </c>
      <c r="K110" s="514">
        <v>377275</v>
      </c>
      <c r="L110" s="514">
        <v>0</v>
      </c>
      <c r="M110" s="514">
        <v>3273751</v>
      </c>
      <c r="N110" s="514">
        <v>0</v>
      </c>
      <c r="O110" s="515">
        <v>0</v>
      </c>
      <c r="P110" s="527">
        <v>0</v>
      </c>
      <c r="Q110" s="515">
        <v>0</v>
      </c>
      <c r="R110" s="625">
        <v>1787799</v>
      </c>
      <c r="S110" s="484">
        <f t="shared" si="29"/>
        <v>5061550</v>
      </c>
      <c r="T110" s="485">
        <f t="shared" si="30"/>
        <v>19.262669560673146</v>
      </c>
      <c r="U110" s="500">
        <f t="shared" si="28"/>
        <v>0</v>
      </c>
    </row>
    <row r="111" spans="1:21" s="531" customFormat="1" ht="24" customHeight="1">
      <c r="A111" s="420">
        <v>15</v>
      </c>
      <c r="B111" s="421" t="s">
        <v>541</v>
      </c>
      <c r="C111" s="481">
        <f>SUM(C112:C117)</f>
        <v>48858760</v>
      </c>
      <c r="D111" s="482">
        <f aca="true" t="shared" si="39" ref="D111:R111">SUM(D112:D117)</f>
        <v>17201632</v>
      </c>
      <c r="E111" s="482">
        <f t="shared" si="39"/>
        <v>31657128</v>
      </c>
      <c r="F111" s="482">
        <f t="shared" si="39"/>
        <v>16922</v>
      </c>
      <c r="G111" s="482">
        <f t="shared" si="39"/>
        <v>0</v>
      </c>
      <c r="H111" s="481">
        <f t="shared" si="39"/>
        <v>48841838</v>
      </c>
      <c r="I111" s="481">
        <f t="shared" si="39"/>
        <v>47270840</v>
      </c>
      <c r="J111" s="482">
        <f t="shared" si="39"/>
        <v>3810004</v>
      </c>
      <c r="K111" s="482">
        <f t="shared" si="39"/>
        <v>3191059</v>
      </c>
      <c r="L111" s="482">
        <f t="shared" si="39"/>
        <v>4738</v>
      </c>
      <c r="M111" s="482">
        <f t="shared" si="39"/>
        <v>39082494</v>
      </c>
      <c r="N111" s="482">
        <f t="shared" si="39"/>
        <v>305307</v>
      </c>
      <c r="O111" s="482">
        <f t="shared" si="39"/>
        <v>0</v>
      </c>
      <c r="P111" s="482">
        <f t="shared" si="39"/>
        <v>0</v>
      </c>
      <c r="Q111" s="482">
        <f t="shared" si="39"/>
        <v>877238</v>
      </c>
      <c r="R111" s="481">
        <f t="shared" si="39"/>
        <v>1570998</v>
      </c>
      <c r="S111" s="627">
        <f t="shared" si="29"/>
        <v>41836037</v>
      </c>
      <c r="T111" s="483">
        <f t="shared" si="30"/>
        <v>14.820555336016877</v>
      </c>
      <c r="U111" s="500">
        <f t="shared" si="28"/>
        <v>0</v>
      </c>
    </row>
    <row r="112" spans="1:21" s="501" customFormat="1" ht="24" customHeight="1">
      <c r="A112" s="425" t="s">
        <v>580</v>
      </c>
      <c r="B112" s="528" t="s">
        <v>542</v>
      </c>
      <c r="C112" s="488">
        <f aca="true" t="shared" si="40" ref="C112:C117">D112+E112</f>
        <v>35339297</v>
      </c>
      <c r="D112" s="519">
        <v>9616959</v>
      </c>
      <c r="E112" s="519">
        <v>25722338</v>
      </c>
      <c r="F112" s="519">
        <v>400</v>
      </c>
      <c r="G112" s="519">
        <v>0</v>
      </c>
      <c r="H112" s="616">
        <f aca="true" t="shared" si="41" ref="H112:H117">I112+R112</f>
        <v>35338897</v>
      </c>
      <c r="I112" s="616">
        <f aca="true" t="shared" si="42" ref="I112:I117">SUM(J112:Q112)</f>
        <v>35314097</v>
      </c>
      <c r="J112" s="519">
        <v>2218352</v>
      </c>
      <c r="K112" s="519">
        <v>1081627</v>
      </c>
      <c r="L112" s="519">
        <v>0</v>
      </c>
      <c r="M112" s="519">
        <v>32014118</v>
      </c>
      <c r="N112" s="519">
        <v>0</v>
      </c>
      <c r="O112" s="519">
        <v>0</v>
      </c>
      <c r="P112" s="519">
        <v>0</v>
      </c>
      <c r="Q112" s="529">
        <v>0</v>
      </c>
      <c r="R112" s="626">
        <v>24800</v>
      </c>
      <c r="S112" s="484">
        <f t="shared" si="29"/>
        <v>32038918</v>
      </c>
      <c r="T112" s="485">
        <f t="shared" si="30"/>
        <v>9.344650664577378</v>
      </c>
      <c r="U112" s="500">
        <f t="shared" si="28"/>
        <v>0</v>
      </c>
    </row>
    <row r="113" spans="1:21" s="501" customFormat="1" ht="24" customHeight="1">
      <c r="A113" s="425" t="s">
        <v>579</v>
      </c>
      <c r="B113" s="528" t="s">
        <v>575</v>
      </c>
      <c r="C113" s="488">
        <f t="shared" si="40"/>
        <v>5774972</v>
      </c>
      <c r="D113" s="519">
        <v>3740223</v>
      </c>
      <c r="E113" s="519">
        <v>2034749</v>
      </c>
      <c r="F113" s="519">
        <v>200</v>
      </c>
      <c r="G113" s="519">
        <v>0</v>
      </c>
      <c r="H113" s="616">
        <f t="shared" si="41"/>
        <v>5774772</v>
      </c>
      <c r="I113" s="616">
        <f t="shared" si="42"/>
        <v>5155600</v>
      </c>
      <c r="J113" s="519">
        <v>212143</v>
      </c>
      <c r="K113" s="519">
        <v>75622</v>
      </c>
      <c r="L113" s="519">
        <v>0</v>
      </c>
      <c r="M113" s="519">
        <v>4867835</v>
      </c>
      <c r="N113" s="519">
        <v>0</v>
      </c>
      <c r="O113" s="519">
        <v>0</v>
      </c>
      <c r="P113" s="519">
        <v>0</v>
      </c>
      <c r="Q113" s="529">
        <v>0</v>
      </c>
      <c r="R113" s="626">
        <v>619172</v>
      </c>
      <c r="S113" s="484">
        <f t="shared" si="29"/>
        <v>5487007</v>
      </c>
      <c r="T113" s="485">
        <f t="shared" si="30"/>
        <v>5.581600589650089</v>
      </c>
      <c r="U113" s="500">
        <f t="shared" si="28"/>
        <v>0</v>
      </c>
    </row>
    <row r="114" spans="1:21" s="530" customFormat="1" ht="29.25" customHeight="1">
      <c r="A114" s="425" t="s">
        <v>581</v>
      </c>
      <c r="B114" s="528" t="s">
        <v>559</v>
      </c>
      <c r="C114" s="488">
        <f t="shared" si="40"/>
        <v>204520</v>
      </c>
      <c r="D114" s="519">
        <v>48862</v>
      </c>
      <c r="E114" s="519">
        <v>155658</v>
      </c>
      <c r="F114" s="519">
        <v>13297</v>
      </c>
      <c r="G114" s="519">
        <v>0</v>
      </c>
      <c r="H114" s="616">
        <f t="shared" si="41"/>
        <v>191223</v>
      </c>
      <c r="I114" s="616">
        <f t="shared" si="42"/>
        <v>191223</v>
      </c>
      <c r="J114" s="519">
        <v>176735</v>
      </c>
      <c r="K114" s="519">
        <v>9750</v>
      </c>
      <c r="L114" s="519">
        <v>4738</v>
      </c>
      <c r="M114" s="519">
        <v>0</v>
      </c>
      <c r="N114" s="519">
        <v>0</v>
      </c>
      <c r="O114" s="519">
        <v>0</v>
      </c>
      <c r="P114" s="519"/>
      <c r="Q114" s="529">
        <v>0</v>
      </c>
      <c r="R114" s="626">
        <v>0</v>
      </c>
      <c r="S114" s="484">
        <f t="shared" si="29"/>
        <v>0</v>
      </c>
      <c r="T114" s="485">
        <f t="shared" si="30"/>
        <v>100</v>
      </c>
      <c r="U114" s="500">
        <f t="shared" si="28"/>
        <v>0</v>
      </c>
    </row>
    <row r="115" spans="1:21" s="530" customFormat="1" ht="19.5" customHeight="1">
      <c r="A115" s="425" t="s">
        <v>582</v>
      </c>
      <c r="B115" s="528" t="s">
        <v>578</v>
      </c>
      <c r="C115" s="488">
        <f t="shared" si="40"/>
        <v>2838216</v>
      </c>
      <c r="D115" s="519">
        <v>1594240</v>
      </c>
      <c r="E115" s="519">
        <v>1243976</v>
      </c>
      <c r="F115" s="519">
        <v>0</v>
      </c>
      <c r="G115" s="519">
        <v>0</v>
      </c>
      <c r="H115" s="616">
        <f t="shared" si="41"/>
        <v>2838216</v>
      </c>
      <c r="I115" s="616">
        <f t="shared" si="42"/>
        <v>2187088</v>
      </c>
      <c r="J115" s="519">
        <v>74907</v>
      </c>
      <c r="K115" s="519">
        <v>0</v>
      </c>
      <c r="L115" s="519">
        <v>0</v>
      </c>
      <c r="M115" s="519">
        <v>929636</v>
      </c>
      <c r="N115" s="519">
        <v>305307</v>
      </c>
      <c r="O115" s="519">
        <v>0</v>
      </c>
      <c r="P115" s="519"/>
      <c r="Q115" s="529">
        <v>877238</v>
      </c>
      <c r="R115" s="626">
        <v>651128</v>
      </c>
      <c r="S115" s="484">
        <f t="shared" si="29"/>
        <v>2763309</v>
      </c>
      <c r="T115" s="485">
        <f t="shared" si="30"/>
        <v>3.424965067706466</v>
      </c>
      <c r="U115" s="500">
        <f t="shared" si="28"/>
        <v>0</v>
      </c>
    </row>
    <row r="116" spans="1:21" s="501" customFormat="1" ht="21.75" customHeight="1">
      <c r="A116" s="425" t="s">
        <v>583</v>
      </c>
      <c r="B116" s="528" t="s">
        <v>576</v>
      </c>
      <c r="C116" s="488">
        <f t="shared" si="40"/>
        <v>2665733</v>
      </c>
      <c r="D116" s="519">
        <v>798994</v>
      </c>
      <c r="E116" s="519">
        <v>1866739</v>
      </c>
      <c r="F116" s="519">
        <v>0</v>
      </c>
      <c r="G116" s="519">
        <v>0</v>
      </c>
      <c r="H116" s="616">
        <f t="shared" si="41"/>
        <v>2665733</v>
      </c>
      <c r="I116" s="616">
        <f t="shared" si="42"/>
        <v>2389835</v>
      </c>
      <c r="J116" s="519">
        <v>1050551</v>
      </c>
      <c r="K116" s="519">
        <v>68379</v>
      </c>
      <c r="L116" s="519">
        <v>0</v>
      </c>
      <c r="M116" s="519">
        <v>1270905</v>
      </c>
      <c r="N116" s="519">
        <v>0</v>
      </c>
      <c r="O116" s="519">
        <v>0</v>
      </c>
      <c r="P116" s="519">
        <v>0</v>
      </c>
      <c r="Q116" s="529">
        <v>0</v>
      </c>
      <c r="R116" s="626">
        <v>275898</v>
      </c>
      <c r="S116" s="484">
        <f t="shared" si="29"/>
        <v>1546803</v>
      </c>
      <c r="T116" s="485">
        <f t="shared" si="30"/>
        <v>46.820387181541825</v>
      </c>
      <c r="U116" s="500">
        <f t="shared" si="28"/>
        <v>0</v>
      </c>
    </row>
    <row r="117" spans="1:21" s="501" customFormat="1" ht="22.5" customHeight="1">
      <c r="A117" s="425" t="s">
        <v>584</v>
      </c>
      <c r="B117" s="528" t="s">
        <v>577</v>
      </c>
      <c r="C117" s="488">
        <f t="shared" si="40"/>
        <v>2036022</v>
      </c>
      <c r="D117" s="519">
        <v>1402354</v>
      </c>
      <c r="E117" s="519">
        <v>633668</v>
      </c>
      <c r="F117" s="519">
        <v>3025</v>
      </c>
      <c r="G117" s="519">
        <v>0</v>
      </c>
      <c r="H117" s="616">
        <f t="shared" si="41"/>
        <v>2032997</v>
      </c>
      <c r="I117" s="616">
        <f t="shared" si="42"/>
        <v>2032997</v>
      </c>
      <c r="J117" s="519">
        <v>77316</v>
      </c>
      <c r="K117" s="519">
        <v>1955681</v>
      </c>
      <c r="L117" s="519">
        <v>0</v>
      </c>
      <c r="M117" s="519">
        <v>0</v>
      </c>
      <c r="N117" s="519">
        <v>0</v>
      </c>
      <c r="O117" s="519">
        <v>0</v>
      </c>
      <c r="P117" s="519">
        <v>0</v>
      </c>
      <c r="Q117" s="529">
        <v>0</v>
      </c>
      <c r="R117" s="626">
        <v>0</v>
      </c>
      <c r="S117" s="484">
        <f t="shared" si="29"/>
        <v>0</v>
      </c>
      <c r="T117" s="485">
        <f t="shared" si="30"/>
        <v>100</v>
      </c>
      <c r="U117" s="500">
        <f t="shared" si="28"/>
        <v>0</v>
      </c>
    </row>
    <row r="118" spans="2:21" ht="18.75">
      <c r="B118" s="937" t="s">
        <v>420</v>
      </c>
      <c r="C118" s="937"/>
      <c r="D118" s="937"/>
      <c r="E118" s="414"/>
      <c r="F118" s="414"/>
      <c r="G118" s="414"/>
      <c r="H118" s="434"/>
      <c r="I118" s="434"/>
      <c r="J118" s="414"/>
      <c r="K118" s="414"/>
      <c r="L118" s="414"/>
      <c r="M118" s="414"/>
      <c r="N118" s="414"/>
      <c r="O118" s="414"/>
      <c r="P118" s="986" t="s">
        <v>585</v>
      </c>
      <c r="Q118" s="986"/>
      <c r="R118" s="986"/>
      <c r="S118" s="986"/>
      <c r="T118" s="986"/>
      <c r="U118" s="500">
        <f>C118-F118-H118</f>
        <v>0</v>
      </c>
    </row>
    <row r="119" spans="1:20" ht="21" customHeight="1">
      <c r="A119" s="427"/>
      <c r="B119" s="400"/>
      <c r="C119" s="434"/>
      <c r="D119" s="414"/>
      <c r="E119" s="414"/>
      <c r="F119" s="414"/>
      <c r="G119" s="414"/>
      <c r="H119" s="434"/>
      <c r="I119" s="434"/>
      <c r="J119" s="414"/>
      <c r="K119" s="414"/>
      <c r="L119" s="414"/>
      <c r="M119" s="414"/>
      <c r="N119" s="414"/>
      <c r="O119" s="414"/>
      <c r="P119" s="974" t="s">
        <v>586</v>
      </c>
      <c r="Q119" s="974"/>
      <c r="R119" s="974"/>
      <c r="S119" s="974"/>
      <c r="T119" s="974"/>
    </row>
    <row r="120" spans="1:20" ht="21" customHeight="1">
      <c r="A120" s="427"/>
      <c r="B120" s="400"/>
      <c r="C120" s="434"/>
      <c r="D120" s="414"/>
      <c r="E120" s="414"/>
      <c r="F120" s="414"/>
      <c r="G120" s="414"/>
      <c r="H120" s="434"/>
      <c r="I120" s="434"/>
      <c r="J120" s="414"/>
      <c r="K120" s="414"/>
      <c r="L120" s="414"/>
      <c r="M120" s="414"/>
      <c r="N120" s="414"/>
      <c r="O120" s="414"/>
      <c r="P120" s="414"/>
      <c r="Q120" s="414"/>
      <c r="R120" s="434"/>
      <c r="S120" s="434"/>
      <c r="T120" s="414"/>
    </row>
    <row r="121" spans="1:20" ht="21" customHeight="1">
      <c r="A121" s="427"/>
      <c r="B121" s="400"/>
      <c r="C121" s="434"/>
      <c r="D121" s="414"/>
      <c r="E121" s="414"/>
      <c r="F121" s="414"/>
      <c r="G121" s="414"/>
      <c r="H121" s="434"/>
      <c r="I121" s="434"/>
      <c r="J121" s="414"/>
      <c r="K121" s="414"/>
      <c r="L121" s="414"/>
      <c r="M121" s="414"/>
      <c r="N121" s="414"/>
      <c r="O121" s="414"/>
      <c r="P121" s="414"/>
      <c r="Q121" s="414"/>
      <c r="R121" s="434"/>
      <c r="S121" s="434"/>
      <c r="T121" s="414"/>
    </row>
    <row r="122" spans="1:20" ht="21" customHeight="1">
      <c r="A122" s="427"/>
      <c r="B122" s="400"/>
      <c r="C122" s="434"/>
      <c r="D122" s="414"/>
      <c r="E122" s="414"/>
      <c r="F122" s="414"/>
      <c r="G122" s="414"/>
      <c r="H122" s="434"/>
      <c r="I122" s="434"/>
      <c r="J122" s="414"/>
      <c r="K122" s="414"/>
      <c r="L122" s="414"/>
      <c r="M122" s="414"/>
      <c r="N122" s="414"/>
      <c r="O122" s="414"/>
      <c r="P122" s="414"/>
      <c r="Q122" s="414"/>
      <c r="R122" s="434"/>
      <c r="S122" s="434"/>
      <c r="T122" s="414"/>
    </row>
    <row r="123" spans="1:20" ht="21" customHeight="1">
      <c r="A123" s="427"/>
      <c r="B123" s="400"/>
      <c r="C123" s="434"/>
      <c r="D123" s="414"/>
      <c r="E123" s="414"/>
      <c r="F123" s="414"/>
      <c r="G123" s="414"/>
      <c r="H123" s="434"/>
      <c r="I123" s="434"/>
      <c r="J123" s="414"/>
      <c r="K123" s="414"/>
      <c r="L123" s="414"/>
      <c r="M123" s="414"/>
      <c r="N123" s="414"/>
      <c r="O123" s="414"/>
      <c r="P123" s="414"/>
      <c r="Q123" s="414"/>
      <c r="R123" s="434"/>
      <c r="S123" s="434"/>
      <c r="T123" s="414"/>
    </row>
    <row r="124" spans="1:20" ht="21" customHeight="1">
      <c r="A124" s="427"/>
      <c r="B124" s="400"/>
      <c r="C124" s="434"/>
      <c r="D124" s="414"/>
      <c r="E124" s="414"/>
      <c r="F124" s="414"/>
      <c r="G124" s="414"/>
      <c r="H124" s="434"/>
      <c r="I124" s="434"/>
      <c r="J124" s="414"/>
      <c r="K124" s="414"/>
      <c r="L124" s="414"/>
      <c r="M124" s="414"/>
      <c r="N124" s="414"/>
      <c r="O124" s="414"/>
      <c r="P124" s="414"/>
      <c r="Q124" s="414"/>
      <c r="R124" s="434"/>
      <c r="S124" s="434"/>
      <c r="T124" s="414"/>
    </row>
    <row r="125" spans="2:20" ht="15.75" customHeight="1">
      <c r="B125" s="937"/>
      <c r="C125" s="937"/>
      <c r="D125" s="937"/>
      <c r="E125" s="937"/>
      <c r="F125" s="937"/>
      <c r="G125" s="937"/>
      <c r="H125" s="937"/>
      <c r="I125" s="937"/>
      <c r="J125" s="937"/>
      <c r="K125" s="937"/>
      <c r="L125" s="937"/>
      <c r="M125" s="937"/>
      <c r="N125" s="937"/>
      <c r="O125" s="937"/>
      <c r="P125" s="937"/>
      <c r="Q125" s="414"/>
      <c r="R125" s="434"/>
      <c r="S125" s="434"/>
      <c r="T125" s="390"/>
    </row>
    <row r="126" spans="2:20" ht="18.75">
      <c r="B126" s="937"/>
      <c r="C126" s="937"/>
      <c r="D126" s="937"/>
      <c r="E126" s="937"/>
      <c r="F126" s="414"/>
      <c r="G126" s="414"/>
      <c r="H126" s="434"/>
      <c r="I126" s="434"/>
      <c r="J126" s="414"/>
      <c r="K126" s="414"/>
      <c r="L126" s="414"/>
      <c r="M126" s="414"/>
      <c r="N126" s="414"/>
      <c r="O126" s="393"/>
      <c r="P126" s="937" t="s">
        <v>587</v>
      </c>
      <c r="Q126" s="937"/>
      <c r="R126" s="937"/>
      <c r="S126" s="937"/>
      <c r="T126" s="937"/>
    </row>
    <row r="127" spans="2:20" ht="18.75">
      <c r="B127" s="975"/>
      <c r="C127" s="975"/>
      <c r="D127" s="975"/>
      <c r="E127" s="975"/>
      <c r="P127" s="975"/>
      <c r="Q127" s="975"/>
      <c r="R127" s="975"/>
      <c r="S127" s="975"/>
      <c r="T127" s="976"/>
    </row>
  </sheetData>
  <sheetProtection/>
  <mergeCells count="34">
    <mergeCell ref="B118:D118"/>
    <mergeCell ref="A11:B11"/>
    <mergeCell ref="A6:B9"/>
    <mergeCell ref="S6:S9"/>
    <mergeCell ref="C6:E6"/>
    <mergeCell ref="C7:C9"/>
    <mergeCell ref="P118:T118"/>
    <mergeCell ref="H6:R6"/>
    <mergeCell ref="A10:B10"/>
    <mergeCell ref="J8:Q8"/>
    <mergeCell ref="P119:T119"/>
    <mergeCell ref="P126:T126"/>
    <mergeCell ref="B127:E127"/>
    <mergeCell ref="P127:T127"/>
    <mergeCell ref="B126:E126"/>
    <mergeCell ref="B125:P125"/>
    <mergeCell ref="Q5:T5"/>
    <mergeCell ref="D7:E7"/>
    <mergeCell ref="D8:D9"/>
    <mergeCell ref="E8:E9"/>
    <mergeCell ref="Q2:T2"/>
    <mergeCell ref="Q4:T4"/>
    <mergeCell ref="T6:T9"/>
    <mergeCell ref="I7:Q7"/>
    <mergeCell ref="R7:R9"/>
    <mergeCell ref="I8:I9"/>
    <mergeCell ref="H7:H9"/>
    <mergeCell ref="A3:D3"/>
    <mergeCell ref="E1:P1"/>
    <mergeCell ref="E2:P2"/>
    <mergeCell ref="E3:P3"/>
    <mergeCell ref="F6:F9"/>
    <mergeCell ref="G6:G9"/>
    <mergeCell ref="A2:D2"/>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90" t="s">
        <v>29</v>
      </c>
      <c r="B1" s="690"/>
      <c r="C1" s="690"/>
      <c r="D1" s="690"/>
      <c r="E1" s="689" t="s">
        <v>370</v>
      </c>
      <c r="F1" s="689"/>
      <c r="G1" s="689"/>
      <c r="H1" s="689"/>
      <c r="I1" s="689"/>
      <c r="J1" s="689"/>
      <c r="K1" s="689"/>
      <c r="L1" s="31" t="s">
        <v>346</v>
      </c>
      <c r="M1" s="31"/>
      <c r="N1" s="31"/>
      <c r="O1" s="32"/>
      <c r="P1" s="32"/>
    </row>
    <row r="2" spans="1:16" ht="15.75" customHeight="1">
      <c r="A2" s="676" t="s">
        <v>237</v>
      </c>
      <c r="B2" s="676"/>
      <c r="C2" s="676"/>
      <c r="D2" s="676"/>
      <c r="E2" s="689"/>
      <c r="F2" s="689"/>
      <c r="G2" s="689"/>
      <c r="H2" s="689"/>
      <c r="I2" s="689"/>
      <c r="J2" s="689"/>
      <c r="K2" s="689"/>
      <c r="L2" s="684" t="s">
        <v>249</v>
      </c>
      <c r="M2" s="684"/>
      <c r="N2" s="684"/>
      <c r="O2" s="35"/>
      <c r="P2" s="32"/>
    </row>
    <row r="3" spans="1:16" ht="18" customHeight="1">
      <c r="A3" s="676" t="s">
        <v>238</v>
      </c>
      <c r="B3" s="676"/>
      <c r="C3" s="676"/>
      <c r="D3" s="676"/>
      <c r="E3" s="677" t="s">
        <v>366</v>
      </c>
      <c r="F3" s="677"/>
      <c r="G3" s="677"/>
      <c r="H3" s="677"/>
      <c r="I3" s="677"/>
      <c r="J3" s="677"/>
      <c r="K3" s="36"/>
      <c r="L3" s="685" t="s">
        <v>365</v>
      </c>
      <c r="M3" s="685"/>
      <c r="N3" s="685"/>
      <c r="O3" s="32"/>
      <c r="P3" s="32"/>
    </row>
    <row r="4" spans="1:16" ht="21" customHeight="1">
      <c r="A4" s="688" t="s">
        <v>252</v>
      </c>
      <c r="B4" s="688"/>
      <c r="C4" s="688"/>
      <c r="D4" s="688"/>
      <c r="E4" s="39"/>
      <c r="F4" s="40"/>
      <c r="G4" s="41"/>
      <c r="H4" s="41"/>
      <c r="I4" s="41"/>
      <c r="J4" s="41"/>
      <c r="K4" s="32"/>
      <c r="L4" s="684" t="s">
        <v>244</v>
      </c>
      <c r="M4" s="684"/>
      <c r="N4" s="684"/>
      <c r="O4" s="35"/>
      <c r="P4" s="32"/>
    </row>
    <row r="5" spans="1:16" ht="18" customHeight="1">
      <c r="A5" s="41"/>
      <c r="B5" s="32"/>
      <c r="C5" s="42"/>
      <c r="D5" s="686"/>
      <c r="E5" s="686"/>
      <c r="F5" s="686"/>
      <c r="G5" s="686"/>
      <c r="H5" s="686"/>
      <c r="I5" s="686"/>
      <c r="J5" s="686"/>
      <c r="K5" s="686"/>
      <c r="L5" s="43" t="s">
        <v>253</v>
      </c>
      <c r="M5" s="43"/>
      <c r="N5" s="43"/>
      <c r="O5" s="32"/>
      <c r="P5" s="32"/>
    </row>
    <row r="6" spans="1:18" ht="33" customHeight="1">
      <c r="A6" s="694" t="s">
        <v>55</v>
      </c>
      <c r="B6" s="695"/>
      <c r="C6" s="687" t="s">
        <v>254</v>
      </c>
      <c r="D6" s="687"/>
      <c r="E6" s="687"/>
      <c r="F6" s="687"/>
      <c r="G6" s="663" t="s">
        <v>7</v>
      </c>
      <c r="H6" s="664"/>
      <c r="I6" s="664"/>
      <c r="J6" s="664"/>
      <c r="K6" s="664"/>
      <c r="L6" s="664"/>
      <c r="M6" s="664"/>
      <c r="N6" s="665"/>
      <c r="O6" s="668" t="s">
        <v>255</v>
      </c>
      <c r="P6" s="669"/>
      <c r="Q6" s="669"/>
      <c r="R6" s="670"/>
    </row>
    <row r="7" spans="1:18" ht="29.25" customHeight="1">
      <c r="A7" s="696"/>
      <c r="B7" s="697"/>
      <c r="C7" s="687"/>
      <c r="D7" s="687"/>
      <c r="E7" s="687"/>
      <c r="F7" s="687"/>
      <c r="G7" s="663" t="s">
        <v>256</v>
      </c>
      <c r="H7" s="664"/>
      <c r="I7" s="664"/>
      <c r="J7" s="665"/>
      <c r="K7" s="663" t="s">
        <v>90</v>
      </c>
      <c r="L7" s="664"/>
      <c r="M7" s="664"/>
      <c r="N7" s="665"/>
      <c r="O7" s="45" t="s">
        <v>257</v>
      </c>
      <c r="P7" s="45" t="s">
        <v>258</v>
      </c>
      <c r="Q7" s="671" t="s">
        <v>259</v>
      </c>
      <c r="R7" s="671" t="s">
        <v>260</v>
      </c>
    </row>
    <row r="8" spans="1:18" ht="26.25" customHeight="1">
      <c r="A8" s="696"/>
      <c r="B8" s="697"/>
      <c r="C8" s="666" t="s">
        <v>87</v>
      </c>
      <c r="D8" s="693"/>
      <c r="E8" s="666" t="s">
        <v>86</v>
      </c>
      <c r="F8" s="693"/>
      <c r="G8" s="666" t="s">
        <v>88</v>
      </c>
      <c r="H8" s="667"/>
      <c r="I8" s="666" t="s">
        <v>89</v>
      </c>
      <c r="J8" s="667"/>
      <c r="K8" s="666" t="s">
        <v>91</v>
      </c>
      <c r="L8" s="667"/>
      <c r="M8" s="666" t="s">
        <v>92</v>
      </c>
      <c r="N8" s="667"/>
      <c r="O8" s="673" t="s">
        <v>261</v>
      </c>
      <c r="P8" s="674" t="s">
        <v>262</v>
      </c>
      <c r="Q8" s="671"/>
      <c r="R8" s="671"/>
    </row>
    <row r="9" spans="1:18" ht="30.75" customHeight="1">
      <c r="A9" s="696"/>
      <c r="B9" s="697"/>
      <c r="C9" s="46" t="s">
        <v>3</v>
      </c>
      <c r="D9" s="44" t="s">
        <v>9</v>
      </c>
      <c r="E9" s="44" t="s">
        <v>3</v>
      </c>
      <c r="F9" s="44" t="s">
        <v>9</v>
      </c>
      <c r="G9" s="47" t="s">
        <v>3</v>
      </c>
      <c r="H9" s="47" t="s">
        <v>9</v>
      </c>
      <c r="I9" s="47" t="s">
        <v>3</v>
      </c>
      <c r="J9" s="47" t="s">
        <v>9</v>
      </c>
      <c r="K9" s="47" t="s">
        <v>3</v>
      </c>
      <c r="L9" s="47" t="s">
        <v>9</v>
      </c>
      <c r="M9" s="47" t="s">
        <v>3</v>
      </c>
      <c r="N9" s="47" t="s">
        <v>9</v>
      </c>
      <c r="O9" s="673"/>
      <c r="P9" s="675"/>
      <c r="Q9" s="672"/>
      <c r="R9" s="672"/>
    </row>
    <row r="10" spans="1:18" s="52" customFormat="1" ht="18" customHeight="1">
      <c r="A10" s="680" t="s">
        <v>6</v>
      </c>
      <c r="B10" s="680"/>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82" t="s">
        <v>263</v>
      </c>
      <c r="B11" s="683"/>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700" t="s">
        <v>367</v>
      </c>
      <c r="B12" s="701"/>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98" t="s">
        <v>31</v>
      </c>
      <c r="B13" s="69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264</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265</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266</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267</v>
      </c>
    </row>
    <row r="18" spans="1:18" s="70" customFormat="1" ht="18" customHeight="1">
      <c r="A18" s="66" t="s">
        <v>47</v>
      </c>
      <c r="B18" s="67" t="s">
        <v>268</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269</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270</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271</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272</v>
      </c>
      <c r="AK21" s="52" t="s">
        <v>273</v>
      </c>
      <c r="AL21" s="52" t="s">
        <v>274</v>
      </c>
      <c r="AM21" s="63" t="s">
        <v>275</v>
      </c>
    </row>
    <row r="22" spans="1:39" s="52" customFormat="1" ht="18" customHeight="1">
      <c r="A22" s="66" t="s">
        <v>59</v>
      </c>
      <c r="B22" s="67" t="s">
        <v>276</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277</v>
      </c>
    </row>
    <row r="23" spans="1:18" s="52" customFormat="1" ht="18" customHeight="1">
      <c r="A23" s="66" t="s">
        <v>60</v>
      </c>
      <c r="B23" s="67" t="s">
        <v>278</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279</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272</v>
      </c>
    </row>
    <row r="25" spans="1:36" s="52" customFormat="1" ht="18" customHeight="1">
      <c r="A25" s="66" t="s">
        <v>81</v>
      </c>
      <c r="B25" s="67" t="s">
        <v>280</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281</v>
      </c>
    </row>
    <row r="26" spans="1:44" s="52" customFormat="1" ht="18" customHeight="1">
      <c r="A26" s="66" t="s">
        <v>82</v>
      </c>
      <c r="B26" s="67" t="s">
        <v>282</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81" t="s">
        <v>368</v>
      </c>
      <c r="C28" s="681"/>
      <c r="D28" s="681"/>
      <c r="E28" s="681"/>
      <c r="F28" s="75"/>
      <c r="G28" s="76"/>
      <c r="H28" s="76"/>
      <c r="I28" s="76"/>
      <c r="J28" s="681" t="s">
        <v>369</v>
      </c>
      <c r="K28" s="681"/>
      <c r="L28" s="681"/>
      <c r="M28" s="681"/>
      <c r="N28" s="681"/>
      <c r="O28" s="77"/>
      <c r="P28" s="77"/>
      <c r="AG28" s="78" t="s">
        <v>284</v>
      </c>
      <c r="AI28" s="79">
        <f>82/88</f>
        <v>0.9318181818181818</v>
      </c>
    </row>
    <row r="29" spans="1:16" s="85" customFormat="1" ht="19.5" customHeight="1">
      <c r="A29" s="80"/>
      <c r="B29" s="660" t="s">
        <v>35</v>
      </c>
      <c r="C29" s="660"/>
      <c r="D29" s="660"/>
      <c r="E29" s="660"/>
      <c r="F29" s="82"/>
      <c r="G29" s="83"/>
      <c r="H29" s="83"/>
      <c r="I29" s="83"/>
      <c r="J29" s="660" t="s">
        <v>285</v>
      </c>
      <c r="K29" s="660"/>
      <c r="L29" s="660"/>
      <c r="M29" s="660"/>
      <c r="N29" s="660"/>
      <c r="O29" s="84"/>
      <c r="P29" s="84"/>
    </row>
    <row r="30" spans="1:16" s="85" customFormat="1" ht="19.5" customHeight="1">
      <c r="A30" s="80"/>
      <c r="B30" s="678"/>
      <c r="C30" s="678"/>
      <c r="D30" s="678"/>
      <c r="E30" s="82"/>
      <c r="F30" s="82"/>
      <c r="G30" s="83"/>
      <c r="H30" s="83"/>
      <c r="I30" s="83"/>
      <c r="J30" s="679"/>
      <c r="K30" s="679"/>
      <c r="L30" s="679"/>
      <c r="M30" s="679"/>
      <c r="N30" s="679"/>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62" t="s">
        <v>286</v>
      </c>
      <c r="C32" s="662"/>
      <c r="D32" s="662"/>
      <c r="E32" s="662"/>
      <c r="F32" s="87"/>
      <c r="G32" s="88"/>
      <c r="H32" s="88"/>
      <c r="I32" s="88"/>
      <c r="J32" s="661" t="s">
        <v>286</v>
      </c>
      <c r="K32" s="661"/>
      <c r="L32" s="661"/>
      <c r="M32" s="661"/>
      <c r="N32" s="661"/>
      <c r="O32" s="84"/>
      <c r="P32" s="84"/>
    </row>
    <row r="33" spans="1:16" s="85" customFormat="1" ht="19.5" customHeight="1">
      <c r="A33" s="80"/>
      <c r="B33" s="660" t="s">
        <v>287</v>
      </c>
      <c r="C33" s="660"/>
      <c r="D33" s="660"/>
      <c r="E33" s="660"/>
      <c r="F33" s="82"/>
      <c r="G33" s="83"/>
      <c r="H33" s="83"/>
      <c r="I33" s="83"/>
      <c r="J33" s="81"/>
      <c r="K33" s="660" t="s">
        <v>287</v>
      </c>
      <c r="L33" s="660"/>
      <c r="M33" s="660"/>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91" t="s">
        <v>240</v>
      </c>
      <c r="C36" s="691"/>
      <c r="D36" s="691"/>
      <c r="E36" s="691"/>
      <c r="F36" s="91"/>
      <c r="G36" s="91"/>
      <c r="H36" s="91"/>
      <c r="I36" s="91"/>
      <c r="J36" s="692" t="s">
        <v>241</v>
      </c>
      <c r="K36" s="692"/>
      <c r="L36" s="692"/>
      <c r="M36" s="692"/>
      <c r="N36" s="69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702" t="s">
        <v>26</v>
      </c>
      <c r="B1" s="702"/>
      <c r="C1" s="98"/>
      <c r="D1" s="709" t="s">
        <v>347</v>
      </c>
      <c r="E1" s="709"/>
      <c r="F1" s="709"/>
      <c r="G1" s="709"/>
      <c r="H1" s="709"/>
      <c r="I1" s="709"/>
      <c r="J1" s="709"/>
      <c r="K1" s="709"/>
      <c r="L1" s="709"/>
      <c r="M1" s="727" t="s">
        <v>288</v>
      </c>
      <c r="N1" s="728"/>
      <c r="O1" s="728"/>
      <c r="P1" s="728"/>
    </row>
    <row r="2" spans="1:16" s="42" customFormat="1" ht="34.5" customHeight="1">
      <c r="A2" s="708" t="s">
        <v>289</v>
      </c>
      <c r="B2" s="708"/>
      <c r="C2" s="708"/>
      <c r="D2" s="709"/>
      <c r="E2" s="709"/>
      <c r="F2" s="709"/>
      <c r="G2" s="709"/>
      <c r="H2" s="709"/>
      <c r="I2" s="709"/>
      <c r="J2" s="709"/>
      <c r="K2" s="709"/>
      <c r="L2" s="709"/>
      <c r="M2" s="729" t="s">
        <v>348</v>
      </c>
      <c r="N2" s="730"/>
      <c r="O2" s="730"/>
      <c r="P2" s="730"/>
    </row>
    <row r="3" spans="1:16" s="42" customFormat="1" ht="19.5" customHeight="1">
      <c r="A3" s="707" t="s">
        <v>290</v>
      </c>
      <c r="B3" s="707"/>
      <c r="C3" s="707"/>
      <c r="D3" s="709"/>
      <c r="E3" s="709"/>
      <c r="F3" s="709"/>
      <c r="G3" s="709"/>
      <c r="H3" s="709"/>
      <c r="I3" s="709"/>
      <c r="J3" s="709"/>
      <c r="K3" s="709"/>
      <c r="L3" s="709"/>
      <c r="M3" s="729" t="s">
        <v>291</v>
      </c>
      <c r="N3" s="730"/>
      <c r="O3" s="730"/>
      <c r="P3" s="730"/>
    </row>
    <row r="4" spans="1:16" s="103" customFormat="1" ht="18.75" customHeight="1">
      <c r="A4" s="99"/>
      <c r="B4" s="99"/>
      <c r="C4" s="100"/>
      <c r="D4" s="686"/>
      <c r="E4" s="686"/>
      <c r="F4" s="686"/>
      <c r="G4" s="686"/>
      <c r="H4" s="686"/>
      <c r="I4" s="686"/>
      <c r="J4" s="686"/>
      <c r="K4" s="686"/>
      <c r="L4" s="686"/>
      <c r="M4" s="101" t="s">
        <v>292</v>
      </c>
      <c r="N4" s="102"/>
      <c r="O4" s="102"/>
      <c r="P4" s="102"/>
    </row>
    <row r="5" spans="1:16" ht="49.5" customHeight="1">
      <c r="A5" s="714" t="s">
        <v>55</v>
      </c>
      <c r="B5" s="715"/>
      <c r="C5" s="704" t="s">
        <v>80</v>
      </c>
      <c r="D5" s="705"/>
      <c r="E5" s="705"/>
      <c r="F5" s="705"/>
      <c r="G5" s="705"/>
      <c r="H5" s="705"/>
      <c r="I5" s="705"/>
      <c r="J5" s="705"/>
      <c r="K5" s="703" t="s">
        <v>79</v>
      </c>
      <c r="L5" s="703"/>
      <c r="M5" s="703"/>
      <c r="N5" s="703"/>
      <c r="O5" s="703"/>
      <c r="P5" s="703"/>
    </row>
    <row r="6" spans="1:16" ht="20.25" customHeight="1">
      <c r="A6" s="716"/>
      <c r="B6" s="717"/>
      <c r="C6" s="704" t="s">
        <v>3</v>
      </c>
      <c r="D6" s="705"/>
      <c r="E6" s="705"/>
      <c r="F6" s="706"/>
      <c r="G6" s="703" t="s">
        <v>9</v>
      </c>
      <c r="H6" s="703"/>
      <c r="I6" s="703"/>
      <c r="J6" s="703"/>
      <c r="K6" s="731" t="s">
        <v>3</v>
      </c>
      <c r="L6" s="731"/>
      <c r="M6" s="731"/>
      <c r="N6" s="722" t="s">
        <v>9</v>
      </c>
      <c r="O6" s="722"/>
      <c r="P6" s="722"/>
    </row>
    <row r="7" spans="1:16" ht="52.5" customHeight="1">
      <c r="A7" s="716"/>
      <c r="B7" s="717"/>
      <c r="C7" s="720" t="s">
        <v>293</v>
      </c>
      <c r="D7" s="705" t="s">
        <v>76</v>
      </c>
      <c r="E7" s="705"/>
      <c r="F7" s="706"/>
      <c r="G7" s="703" t="s">
        <v>294</v>
      </c>
      <c r="H7" s="703" t="s">
        <v>76</v>
      </c>
      <c r="I7" s="703"/>
      <c r="J7" s="703"/>
      <c r="K7" s="703" t="s">
        <v>32</v>
      </c>
      <c r="L7" s="703" t="s">
        <v>77</v>
      </c>
      <c r="M7" s="703"/>
      <c r="N7" s="703" t="s">
        <v>62</v>
      </c>
      <c r="O7" s="703" t="s">
        <v>77</v>
      </c>
      <c r="P7" s="703"/>
    </row>
    <row r="8" spans="1:16" ht="15.75" customHeight="1">
      <c r="A8" s="716"/>
      <c r="B8" s="717"/>
      <c r="C8" s="720"/>
      <c r="D8" s="703" t="s">
        <v>36</v>
      </c>
      <c r="E8" s="703" t="s">
        <v>37</v>
      </c>
      <c r="F8" s="703" t="s">
        <v>40</v>
      </c>
      <c r="G8" s="703"/>
      <c r="H8" s="703" t="s">
        <v>36</v>
      </c>
      <c r="I8" s="703" t="s">
        <v>37</v>
      </c>
      <c r="J8" s="703" t="s">
        <v>40</v>
      </c>
      <c r="K8" s="703"/>
      <c r="L8" s="703" t="s">
        <v>14</v>
      </c>
      <c r="M8" s="703" t="s">
        <v>13</v>
      </c>
      <c r="N8" s="703"/>
      <c r="O8" s="703" t="s">
        <v>14</v>
      </c>
      <c r="P8" s="703" t="s">
        <v>13</v>
      </c>
    </row>
    <row r="9" spans="1:16" ht="44.25" customHeight="1">
      <c r="A9" s="718"/>
      <c r="B9" s="719"/>
      <c r="C9" s="721"/>
      <c r="D9" s="703"/>
      <c r="E9" s="703"/>
      <c r="F9" s="703"/>
      <c r="G9" s="703"/>
      <c r="H9" s="703"/>
      <c r="I9" s="703"/>
      <c r="J9" s="703"/>
      <c r="K9" s="703"/>
      <c r="L9" s="703"/>
      <c r="M9" s="703"/>
      <c r="N9" s="703"/>
      <c r="O9" s="703"/>
      <c r="P9" s="703"/>
    </row>
    <row r="10" spans="1:16" ht="15" customHeight="1">
      <c r="A10" s="712" t="s">
        <v>6</v>
      </c>
      <c r="B10" s="713"/>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725" t="s">
        <v>295</v>
      </c>
      <c r="B11" s="72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723" t="s">
        <v>296</v>
      </c>
      <c r="B12" s="72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710" t="s">
        <v>33</v>
      </c>
      <c r="B13" s="711"/>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264</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265</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297</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267</v>
      </c>
    </row>
    <row r="18" spans="1:16" s="42" customFormat="1" ht="15" customHeight="1">
      <c r="A18" s="116" t="s">
        <v>47</v>
      </c>
      <c r="B18" s="117" t="s">
        <v>268</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269</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270</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271</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272</v>
      </c>
      <c r="AK21" s="42" t="s">
        <v>273</v>
      </c>
      <c r="AL21" s="42" t="s">
        <v>274</v>
      </c>
      <c r="AM21" s="113" t="s">
        <v>275</v>
      </c>
    </row>
    <row r="22" spans="1:39" s="42" customFormat="1" ht="15" customHeight="1">
      <c r="A22" s="116" t="s">
        <v>59</v>
      </c>
      <c r="B22" s="117" t="s">
        <v>276</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277</v>
      </c>
    </row>
    <row r="23" spans="1:16" s="42" customFormat="1" ht="15" customHeight="1">
      <c r="A23" s="116" t="s">
        <v>60</v>
      </c>
      <c r="B23" s="117" t="s">
        <v>278</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279</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272</v>
      </c>
    </row>
    <row r="25" spans="1:36" s="42" customFormat="1" ht="15" customHeight="1">
      <c r="A25" s="116" t="s">
        <v>81</v>
      </c>
      <c r="B25" s="117" t="s">
        <v>280</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281</v>
      </c>
    </row>
    <row r="26" spans="1:44" s="42" customFormat="1" ht="15" customHeight="1">
      <c r="A26" s="116" t="s">
        <v>82</v>
      </c>
      <c r="B26" s="117" t="s">
        <v>282</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737" t="s">
        <v>349</v>
      </c>
      <c r="C28" s="738"/>
      <c r="D28" s="738"/>
      <c r="E28" s="738"/>
      <c r="F28" s="123"/>
      <c r="G28" s="123"/>
      <c r="H28" s="123"/>
      <c r="I28" s="123"/>
      <c r="J28" s="123"/>
      <c r="K28" s="732" t="s">
        <v>350</v>
      </c>
      <c r="L28" s="732"/>
      <c r="M28" s="732"/>
      <c r="N28" s="732"/>
      <c r="O28" s="732"/>
      <c r="P28" s="732"/>
      <c r="AG28" s="73" t="s">
        <v>284</v>
      </c>
      <c r="AI28" s="113">
        <f>82/88</f>
        <v>0.9318181818181818</v>
      </c>
    </row>
    <row r="29" spans="2:16" ht="16.5">
      <c r="B29" s="738"/>
      <c r="C29" s="738"/>
      <c r="D29" s="738"/>
      <c r="E29" s="738"/>
      <c r="F29" s="123"/>
      <c r="G29" s="123"/>
      <c r="H29" s="123"/>
      <c r="I29" s="123"/>
      <c r="J29" s="123"/>
      <c r="K29" s="732"/>
      <c r="L29" s="732"/>
      <c r="M29" s="732"/>
      <c r="N29" s="732"/>
      <c r="O29" s="732"/>
      <c r="P29" s="732"/>
    </row>
    <row r="30" spans="2:16" ht="21" customHeight="1">
      <c r="B30" s="738"/>
      <c r="C30" s="738"/>
      <c r="D30" s="738"/>
      <c r="E30" s="738"/>
      <c r="F30" s="123"/>
      <c r="G30" s="123"/>
      <c r="H30" s="123"/>
      <c r="I30" s="123"/>
      <c r="J30" s="123"/>
      <c r="K30" s="732"/>
      <c r="L30" s="732"/>
      <c r="M30" s="732"/>
      <c r="N30" s="732"/>
      <c r="O30" s="732"/>
      <c r="P30" s="732"/>
    </row>
    <row r="32" spans="2:16" ht="16.5" customHeight="1">
      <c r="B32" s="740" t="s">
        <v>287</v>
      </c>
      <c r="C32" s="740"/>
      <c r="D32" s="740"/>
      <c r="E32" s="124"/>
      <c r="F32" s="124"/>
      <c r="G32" s="124"/>
      <c r="H32" s="124"/>
      <c r="I32" s="124"/>
      <c r="J32" s="124"/>
      <c r="K32" s="739" t="s">
        <v>351</v>
      </c>
      <c r="L32" s="739"/>
      <c r="M32" s="739"/>
      <c r="N32" s="739"/>
      <c r="O32" s="739"/>
      <c r="P32" s="739"/>
    </row>
    <row r="33" ht="12.75" customHeight="1"/>
    <row r="34" spans="2:5" ht="15.75">
      <c r="B34" s="125"/>
      <c r="C34" s="125"/>
      <c r="D34" s="125"/>
      <c r="E34" s="125"/>
    </row>
    <row r="35" ht="15.75" hidden="1"/>
    <row r="36" spans="2:16" ht="15.75">
      <c r="B36" s="735" t="s">
        <v>240</v>
      </c>
      <c r="C36" s="735"/>
      <c r="D36" s="735"/>
      <c r="E36" s="735"/>
      <c r="F36" s="126"/>
      <c r="G36" s="126"/>
      <c r="H36" s="126"/>
      <c r="I36" s="126"/>
      <c r="K36" s="736" t="s">
        <v>241</v>
      </c>
      <c r="L36" s="736"/>
      <c r="M36" s="736"/>
      <c r="N36" s="736"/>
      <c r="O36" s="736"/>
      <c r="P36" s="736"/>
    </row>
    <row r="39" ht="15.75">
      <c r="A39" s="128" t="s">
        <v>41</v>
      </c>
    </row>
    <row r="40" spans="1:6" ht="15.75">
      <c r="A40" s="129"/>
      <c r="B40" s="130" t="s">
        <v>48</v>
      </c>
      <c r="C40" s="130"/>
      <c r="D40" s="130"/>
      <c r="E40" s="130"/>
      <c r="F40" s="130"/>
    </row>
    <row r="41" spans="1:14" ht="15.75" customHeight="1">
      <c r="A41" s="131" t="s">
        <v>25</v>
      </c>
      <c r="B41" s="734" t="s">
        <v>51</v>
      </c>
      <c r="C41" s="734"/>
      <c r="D41" s="734"/>
      <c r="E41" s="734"/>
      <c r="F41" s="734"/>
      <c r="G41" s="131"/>
      <c r="H41" s="131"/>
      <c r="I41" s="131"/>
      <c r="J41" s="131"/>
      <c r="K41" s="131"/>
      <c r="L41" s="131"/>
      <c r="M41" s="131"/>
      <c r="N41" s="131"/>
    </row>
    <row r="42" spans="1:14" ht="15" customHeight="1">
      <c r="A42" s="131"/>
      <c r="B42" s="733" t="s">
        <v>52</v>
      </c>
      <c r="C42" s="733"/>
      <c r="D42" s="733"/>
      <c r="E42" s="733"/>
      <c r="F42" s="733"/>
      <c r="G42" s="733"/>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N7:N9"/>
    <mergeCell ref="N6:P6"/>
    <mergeCell ref="O7:P7"/>
    <mergeCell ref="L7:M7"/>
    <mergeCell ref="A12:B12"/>
    <mergeCell ref="A11:B11"/>
    <mergeCell ref="P8:P9"/>
    <mergeCell ref="O8:O9"/>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90" t="s">
        <v>97</v>
      </c>
      <c r="B1" s="690"/>
      <c r="C1" s="690"/>
      <c r="D1" s="744" t="s">
        <v>352</v>
      </c>
      <c r="E1" s="744"/>
      <c r="F1" s="744"/>
      <c r="G1" s="744"/>
      <c r="H1" s="744"/>
      <c r="I1" s="744"/>
      <c r="J1" s="748" t="s">
        <v>353</v>
      </c>
      <c r="K1" s="749"/>
      <c r="L1" s="749"/>
    </row>
    <row r="2" spans="1:13" ht="15.75" customHeight="1">
      <c r="A2" s="768" t="s">
        <v>298</v>
      </c>
      <c r="B2" s="768"/>
      <c r="C2" s="768"/>
      <c r="D2" s="744"/>
      <c r="E2" s="744"/>
      <c r="F2" s="744"/>
      <c r="G2" s="744"/>
      <c r="H2" s="744"/>
      <c r="I2" s="744"/>
      <c r="J2" s="749" t="s">
        <v>299</v>
      </c>
      <c r="K2" s="749"/>
      <c r="L2" s="749"/>
      <c r="M2" s="133"/>
    </row>
    <row r="3" spans="1:13" ht="15.75" customHeight="1">
      <c r="A3" s="676" t="s">
        <v>250</v>
      </c>
      <c r="B3" s="676"/>
      <c r="C3" s="676"/>
      <c r="D3" s="744"/>
      <c r="E3" s="744"/>
      <c r="F3" s="744"/>
      <c r="G3" s="744"/>
      <c r="H3" s="744"/>
      <c r="I3" s="744"/>
      <c r="J3" s="748" t="s">
        <v>354</v>
      </c>
      <c r="K3" s="748"/>
      <c r="L3" s="748"/>
      <c r="M3" s="37"/>
    </row>
    <row r="4" spans="1:13" ht="15.75" customHeight="1">
      <c r="A4" s="747" t="s">
        <v>252</v>
      </c>
      <c r="B4" s="747"/>
      <c r="C4" s="747"/>
      <c r="D4" s="746"/>
      <c r="E4" s="746"/>
      <c r="F4" s="746"/>
      <c r="G4" s="746"/>
      <c r="H4" s="746"/>
      <c r="I4" s="746"/>
      <c r="J4" s="749" t="s">
        <v>300</v>
      </c>
      <c r="K4" s="749"/>
      <c r="L4" s="749"/>
      <c r="M4" s="133"/>
    </row>
    <row r="5" spans="1:13" ht="15.75">
      <c r="A5" s="134"/>
      <c r="B5" s="134"/>
      <c r="C5" s="34"/>
      <c r="D5" s="34"/>
      <c r="E5" s="34"/>
      <c r="F5" s="34"/>
      <c r="G5" s="34"/>
      <c r="H5" s="34"/>
      <c r="I5" s="34"/>
      <c r="J5" s="745" t="s">
        <v>8</v>
      </c>
      <c r="K5" s="745"/>
      <c r="L5" s="745"/>
      <c r="M5" s="133"/>
    </row>
    <row r="6" spans="1:14" ht="15.75">
      <c r="A6" s="750" t="s">
        <v>55</v>
      </c>
      <c r="B6" s="751"/>
      <c r="C6" s="703" t="s">
        <v>301</v>
      </c>
      <c r="D6" s="743" t="s">
        <v>302</v>
      </c>
      <c r="E6" s="743"/>
      <c r="F6" s="743"/>
      <c r="G6" s="743"/>
      <c r="H6" s="743"/>
      <c r="I6" s="743"/>
      <c r="J6" s="687" t="s">
        <v>95</v>
      </c>
      <c r="K6" s="687"/>
      <c r="L6" s="687"/>
      <c r="M6" s="741" t="s">
        <v>303</v>
      </c>
      <c r="N6" s="742" t="s">
        <v>304</v>
      </c>
    </row>
    <row r="7" spans="1:14" ht="15.75" customHeight="1">
      <c r="A7" s="752"/>
      <c r="B7" s="753"/>
      <c r="C7" s="703"/>
      <c r="D7" s="743" t="s">
        <v>7</v>
      </c>
      <c r="E7" s="743"/>
      <c r="F7" s="743"/>
      <c r="G7" s="743"/>
      <c r="H7" s="743"/>
      <c r="I7" s="743"/>
      <c r="J7" s="687"/>
      <c r="K7" s="687"/>
      <c r="L7" s="687"/>
      <c r="M7" s="741"/>
      <c r="N7" s="742"/>
    </row>
    <row r="8" spans="1:14" s="73" customFormat="1" ht="31.5" customHeight="1">
      <c r="A8" s="752"/>
      <c r="B8" s="753"/>
      <c r="C8" s="703"/>
      <c r="D8" s="687" t="s">
        <v>93</v>
      </c>
      <c r="E8" s="687" t="s">
        <v>94</v>
      </c>
      <c r="F8" s="687"/>
      <c r="G8" s="687"/>
      <c r="H8" s="687"/>
      <c r="I8" s="687"/>
      <c r="J8" s="687"/>
      <c r="K8" s="687"/>
      <c r="L8" s="687"/>
      <c r="M8" s="741"/>
      <c r="N8" s="742"/>
    </row>
    <row r="9" spans="1:14" s="73" customFormat="1" ht="15.75" customHeight="1">
      <c r="A9" s="752"/>
      <c r="B9" s="753"/>
      <c r="C9" s="703"/>
      <c r="D9" s="687"/>
      <c r="E9" s="687" t="s">
        <v>96</v>
      </c>
      <c r="F9" s="687" t="s">
        <v>7</v>
      </c>
      <c r="G9" s="687"/>
      <c r="H9" s="687"/>
      <c r="I9" s="687"/>
      <c r="J9" s="687" t="s">
        <v>7</v>
      </c>
      <c r="K9" s="687"/>
      <c r="L9" s="687"/>
      <c r="M9" s="741"/>
      <c r="N9" s="742"/>
    </row>
    <row r="10" spans="1:14" s="73" customFormat="1" ht="86.25" customHeight="1">
      <c r="A10" s="754"/>
      <c r="B10" s="755"/>
      <c r="C10" s="703"/>
      <c r="D10" s="687"/>
      <c r="E10" s="687"/>
      <c r="F10" s="104" t="s">
        <v>22</v>
      </c>
      <c r="G10" s="104" t="s">
        <v>24</v>
      </c>
      <c r="H10" s="104" t="s">
        <v>16</v>
      </c>
      <c r="I10" s="104" t="s">
        <v>23</v>
      </c>
      <c r="J10" s="104" t="s">
        <v>15</v>
      </c>
      <c r="K10" s="104" t="s">
        <v>20</v>
      </c>
      <c r="L10" s="104" t="s">
        <v>21</v>
      </c>
      <c r="M10" s="741"/>
      <c r="N10" s="742"/>
    </row>
    <row r="11" spans="1:32" ht="13.5" customHeight="1">
      <c r="A11" s="765" t="s">
        <v>5</v>
      </c>
      <c r="B11" s="766"/>
      <c r="C11" s="135">
        <v>1</v>
      </c>
      <c r="D11" s="135" t="s">
        <v>44</v>
      </c>
      <c r="E11" s="135" t="s">
        <v>47</v>
      </c>
      <c r="F11" s="135" t="s">
        <v>56</v>
      </c>
      <c r="G11" s="135" t="s">
        <v>57</v>
      </c>
      <c r="H11" s="135" t="s">
        <v>58</v>
      </c>
      <c r="I11" s="135" t="s">
        <v>59</v>
      </c>
      <c r="J11" s="135" t="s">
        <v>60</v>
      </c>
      <c r="K11" s="135" t="s">
        <v>61</v>
      </c>
      <c r="L11" s="135" t="s">
        <v>81</v>
      </c>
      <c r="M11" s="136"/>
      <c r="N11" s="137"/>
      <c r="AF11" s="33" t="s">
        <v>264</v>
      </c>
    </row>
    <row r="12" spans="1:14" ht="24" customHeight="1">
      <c r="A12" s="759" t="s">
        <v>295</v>
      </c>
      <c r="B12" s="76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57" t="s">
        <v>251</v>
      </c>
      <c r="B13" s="758"/>
      <c r="C13" s="139">
        <v>59</v>
      </c>
      <c r="D13" s="139">
        <v>43</v>
      </c>
      <c r="E13" s="139">
        <v>0</v>
      </c>
      <c r="F13" s="139">
        <v>5</v>
      </c>
      <c r="G13" s="139">
        <v>2</v>
      </c>
      <c r="H13" s="139">
        <v>7</v>
      </c>
      <c r="I13" s="139">
        <v>2</v>
      </c>
      <c r="J13" s="139">
        <v>10</v>
      </c>
      <c r="K13" s="139">
        <v>44</v>
      </c>
      <c r="L13" s="139">
        <v>5</v>
      </c>
      <c r="M13" s="136"/>
      <c r="N13" s="137"/>
    </row>
    <row r="14" spans="1:37" s="52" customFormat="1" ht="16.5" customHeight="1">
      <c r="A14" s="763" t="s">
        <v>30</v>
      </c>
      <c r="B14" s="76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265</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267</v>
      </c>
    </row>
    <row r="18" spans="1:14" s="148" customFormat="1" ht="16.5" customHeight="1">
      <c r="A18" s="147" t="s">
        <v>44</v>
      </c>
      <c r="B18" s="68" t="s">
        <v>297</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268</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269</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270</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272</v>
      </c>
      <c r="AK21" s="148" t="s">
        <v>273</v>
      </c>
      <c r="AL21" s="148" t="s">
        <v>274</v>
      </c>
      <c r="AM21" s="63" t="s">
        <v>275</v>
      </c>
    </row>
    <row r="22" spans="1:39" s="148" customFormat="1" ht="16.5" customHeight="1">
      <c r="A22" s="147" t="s">
        <v>58</v>
      </c>
      <c r="B22" s="68" t="s">
        <v>271</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277</v>
      </c>
    </row>
    <row r="23" spans="1:14" s="148" customFormat="1" ht="16.5" customHeight="1">
      <c r="A23" s="147" t="s">
        <v>59</v>
      </c>
      <c r="B23" s="68" t="s">
        <v>276</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278</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272</v>
      </c>
    </row>
    <row r="25" spans="1:36" s="148" customFormat="1" ht="16.5" customHeight="1">
      <c r="A25" s="147" t="s">
        <v>61</v>
      </c>
      <c r="B25" s="68" t="s">
        <v>279</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281</v>
      </c>
    </row>
    <row r="26" spans="1:44" s="70" customFormat="1" ht="16.5" customHeight="1">
      <c r="A26" s="151" t="s">
        <v>81</v>
      </c>
      <c r="B26" s="68" t="s">
        <v>280</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282</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284</v>
      </c>
      <c r="AI28" s="157">
        <f>82/88</f>
        <v>0.9318181818181818</v>
      </c>
    </row>
    <row r="29" spans="1:13" ht="16.5" customHeight="1">
      <c r="A29" s="681" t="s">
        <v>355</v>
      </c>
      <c r="B29" s="767"/>
      <c r="C29" s="767"/>
      <c r="D29" s="767"/>
      <c r="E29" s="158"/>
      <c r="F29" s="158"/>
      <c r="G29" s="158"/>
      <c r="H29" s="769" t="s">
        <v>305</v>
      </c>
      <c r="I29" s="769"/>
      <c r="J29" s="769"/>
      <c r="K29" s="769"/>
      <c r="L29" s="769"/>
      <c r="M29" s="159"/>
    </row>
    <row r="30" spans="1:12" ht="18.75">
      <c r="A30" s="767"/>
      <c r="B30" s="767"/>
      <c r="C30" s="767"/>
      <c r="D30" s="767"/>
      <c r="E30" s="158"/>
      <c r="F30" s="158"/>
      <c r="G30" s="158"/>
      <c r="H30" s="770" t="s">
        <v>306</v>
      </c>
      <c r="I30" s="770"/>
      <c r="J30" s="770"/>
      <c r="K30" s="770"/>
      <c r="L30" s="770"/>
    </row>
    <row r="31" spans="1:12" s="32" customFormat="1" ht="16.5" customHeight="1">
      <c r="A31" s="678"/>
      <c r="B31" s="678"/>
      <c r="C31" s="678"/>
      <c r="D31" s="678"/>
      <c r="E31" s="160"/>
      <c r="F31" s="160"/>
      <c r="G31" s="160"/>
      <c r="H31" s="679"/>
      <c r="I31" s="679"/>
      <c r="J31" s="679"/>
      <c r="K31" s="679"/>
      <c r="L31" s="679"/>
    </row>
    <row r="32" spans="1:12" ht="18.75">
      <c r="A32" s="89"/>
      <c r="B32" s="678" t="s">
        <v>287</v>
      </c>
      <c r="C32" s="678"/>
      <c r="D32" s="678"/>
      <c r="E32" s="160"/>
      <c r="F32" s="160"/>
      <c r="G32" s="160"/>
      <c r="H32" s="160"/>
      <c r="I32" s="756" t="s">
        <v>287</v>
      </c>
      <c r="J32" s="756"/>
      <c r="K32" s="756"/>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91" t="s">
        <v>240</v>
      </c>
      <c r="B37" s="691"/>
      <c r="C37" s="691"/>
      <c r="D37" s="691"/>
      <c r="E37" s="91"/>
      <c r="F37" s="91"/>
      <c r="G37" s="91"/>
      <c r="H37" s="692" t="s">
        <v>240</v>
      </c>
      <c r="I37" s="692"/>
      <c r="J37" s="692"/>
      <c r="K37" s="692"/>
      <c r="L37" s="69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62" t="s">
        <v>48</v>
      </c>
      <c r="C40" s="762"/>
      <c r="D40" s="762"/>
      <c r="E40" s="762"/>
      <c r="F40" s="762"/>
      <c r="G40" s="762"/>
      <c r="H40" s="762"/>
      <c r="I40" s="762"/>
      <c r="J40" s="762"/>
      <c r="K40" s="762"/>
      <c r="L40" s="762"/>
    </row>
    <row r="41" spans="1:12" ht="16.5" customHeight="1">
      <c r="A41" s="165"/>
      <c r="B41" s="761" t="s">
        <v>50</v>
      </c>
      <c r="C41" s="761"/>
      <c r="D41" s="761"/>
      <c r="E41" s="761"/>
      <c r="F41" s="761"/>
      <c r="G41" s="761"/>
      <c r="H41" s="761"/>
      <c r="I41" s="761"/>
      <c r="J41" s="761"/>
      <c r="K41" s="761"/>
      <c r="L41" s="761"/>
    </row>
    <row r="42" ht="15.75">
      <c r="B42" s="38" t="s">
        <v>49</v>
      </c>
    </row>
  </sheetData>
  <sheetProtection/>
  <mergeCells count="38">
    <mergeCell ref="B41:L41"/>
    <mergeCell ref="B40:L40"/>
    <mergeCell ref="A14:B14"/>
    <mergeCell ref="A11:B11"/>
    <mergeCell ref="A29:D30"/>
    <mergeCell ref="A2:C2"/>
    <mergeCell ref="A31:D31"/>
    <mergeCell ref="H29:L29"/>
    <mergeCell ref="H30:L30"/>
    <mergeCell ref="H31:L31"/>
    <mergeCell ref="A6:B10"/>
    <mergeCell ref="H37:L37"/>
    <mergeCell ref="A37:D37"/>
    <mergeCell ref="B32:D32"/>
    <mergeCell ref="I32:K32"/>
    <mergeCell ref="A13:B13"/>
    <mergeCell ref="A12:B12"/>
    <mergeCell ref="J9:L9"/>
    <mergeCell ref="J6:L8"/>
    <mergeCell ref="D7:I7"/>
    <mergeCell ref="A3:C3"/>
    <mergeCell ref="D1:I3"/>
    <mergeCell ref="J5:L5"/>
    <mergeCell ref="D4:I4"/>
    <mergeCell ref="A4:C4"/>
    <mergeCell ref="J1:L1"/>
    <mergeCell ref="J2:L2"/>
    <mergeCell ref="J3:L3"/>
    <mergeCell ref="J4:L4"/>
    <mergeCell ref="A1:C1"/>
    <mergeCell ref="M6:M10"/>
    <mergeCell ref="N6:N10"/>
    <mergeCell ref="C6:C10"/>
    <mergeCell ref="E9:E10"/>
    <mergeCell ref="D6:I6"/>
    <mergeCell ref="E8:I8"/>
    <mergeCell ref="D8:D10"/>
    <mergeCell ref="F9:I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87" t="s">
        <v>128</v>
      </c>
      <c r="B1" s="787"/>
      <c r="C1" s="787"/>
      <c r="D1" s="782" t="s">
        <v>309</v>
      </c>
      <c r="E1" s="783"/>
      <c r="F1" s="783"/>
      <c r="G1" s="783"/>
      <c r="H1" s="783"/>
      <c r="I1" s="783"/>
      <c r="J1" s="783"/>
      <c r="K1" s="783"/>
      <c r="L1" s="783"/>
      <c r="M1" s="783"/>
      <c r="N1" s="783"/>
      <c r="O1" s="212"/>
      <c r="P1" s="169" t="s">
        <v>359</v>
      </c>
      <c r="Q1" s="168"/>
      <c r="R1" s="168"/>
      <c r="S1" s="168"/>
      <c r="T1" s="168"/>
      <c r="U1" s="212"/>
    </row>
    <row r="2" spans="1:21" ht="16.5" customHeight="1">
      <c r="A2" s="784" t="s">
        <v>310</v>
      </c>
      <c r="B2" s="784"/>
      <c r="C2" s="784"/>
      <c r="D2" s="783"/>
      <c r="E2" s="783"/>
      <c r="F2" s="783"/>
      <c r="G2" s="783"/>
      <c r="H2" s="783"/>
      <c r="I2" s="783"/>
      <c r="J2" s="783"/>
      <c r="K2" s="783"/>
      <c r="L2" s="783"/>
      <c r="M2" s="783"/>
      <c r="N2" s="783"/>
      <c r="O2" s="213"/>
      <c r="P2" s="775" t="s">
        <v>311</v>
      </c>
      <c r="Q2" s="775"/>
      <c r="R2" s="775"/>
      <c r="S2" s="775"/>
      <c r="T2" s="775"/>
      <c r="U2" s="213"/>
    </row>
    <row r="3" spans="1:21" ht="16.5" customHeight="1">
      <c r="A3" s="803" t="s">
        <v>312</v>
      </c>
      <c r="B3" s="803"/>
      <c r="C3" s="803"/>
      <c r="D3" s="788" t="s">
        <v>313</v>
      </c>
      <c r="E3" s="788"/>
      <c r="F3" s="788"/>
      <c r="G3" s="788"/>
      <c r="H3" s="788"/>
      <c r="I3" s="788"/>
      <c r="J3" s="788"/>
      <c r="K3" s="788"/>
      <c r="L3" s="788"/>
      <c r="M3" s="788"/>
      <c r="N3" s="788"/>
      <c r="O3" s="213"/>
      <c r="P3" s="173" t="s">
        <v>358</v>
      </c>
      <c r="Q3" s="213"/>
      <c r="R3" s="213"/>
      <c r="S3" s="213"/>
      <c r="T3" s="213"/>
      <c r="U3" s="213"/>
    </row>
    <row r="4" spans="1:21" ht="16.5" customHeight="1">
      <c r="A4" s="789" t="s">
        <v>252</v>
      </c>
      <c r="B4" s="789"/>
      <c r="C4" s="789"/>
      <c r="D4" s="810"/>
      <c r="E4" s="810"/>
      <c r="F4" s="810"/>
      <c r="G4" s="810"/>
      <c r="H4" s="810"/>
      <c r="I4" s="810"/>
      <c r="J4" s="810"/>
      <c r="K4" s="810"/>
      <c r="L4" s="810"/>
      <c r="M4" s="810"/>
      <c r="N4" s="810"/>
      <c r="O4" s="213"/>
      <c r="P4" s="172" t="s">
        <v>291</v>
      </c>
      <c r="Q4" s="213"/>
      <c r="R4" s="213"/>
      <c r="S4" s="213"/>
      <c r="T4" s="213"/>
      <c r="U4" s="213"/>
    </row>
    <row r="5" spans="12:21" ht="16.5" customHeight="1">
      <c r="L5" s="214"/>
      <c r="M5" s="214"/>
      <c r="N5" s="214"/>
      <c r="O5" s="176"/>
      <c r="P5" s="175" t="s">
        <v>314</v>
      </c>
      <c r="Q5" s="176"/>
      <c r="R5" s="176"/>
      <c r="S5" s="176"/>
      <c r="T5" s="176"/>
      <c r="U5" s="172"/>
    </row>
    <row r="6" spans="1:21" s="217" customFormat="1" ht="15.75" customHeight="1">
      <c r="A6" s="776" t="s">
        <v>55</v>
      </c>
      <c r="B6" s="777"/>
      <c r="C6" s="771" t="s">
        <v>129</v>
      </c>
      <c r="D6" s="785" t="s">
        <v>130</v>
      </c>
      <c r="E6" s="786"/>
      <c r="F6" s="786"/>
      <c r="G6" s="786"/>
      <c r="H6" s="786"/>
      <c r="I6" s="786"/>
      <c r="J6" s="786"/>
      <c r="K6" s="786"/>
      <c r="L6" s="786"/>
      <c r="M6" s="786"/>
      <c r="N6" s="786"/>
      <c r="O6" s="786"/>
      <c r="P6" s="786"/>
      <c r="Q6" s="786"/>
      <c r="R6" s="786"/>
      <c r="S6" s="786"/>
      <c r="T6" s="771" t="s">
        <v>131</v>
      </c>
      <c r="U6" s="216"/>
    </row>
    <row r="7" spans="1:20" s="218" customFormat="1" ht="12.75" customHeight="1">
      <c r="A7" s="778"/>
      <c r="B7" s="779"/>
      <c r="C7" s="771"/>
      <c r="D7" s="807" t="s">
        <v>126</v>
      </c>
      <c r="E7" s="786" t="s">
        <v>7</v>
      </c>
      <c r="F7" s="786"/>
      <c r="G7" s="786"/>
      <c r="H7" s="786"/>
      <c r="I7" s="786"/>
      <c r="J7" s="786"/>
      <c r="K7" s="786"/>
      <c r="L7" s="786"/>
      <c r="M7" s="786"/>
      <c r="N7" s="786"/>
      <c r="O7" s="786"/>
      <c r="P7" s="786"/>
      <c r="Q7" s="786"/>
      <c r="R7" s="786"/>
      <c r="S7" s="786"/>
      <c r="T7" s="771"/>
    </row>
    <row r="8" spans="1:21" s="218" customFormat="1" ht="43.5" customHeight="1">
      <c r="A8" s="778"/>
      <c r="B8" s="779"/>
      <c r="C8" s="771"/>
      <c r="D8" s="808"/>
      <c r="E8" s="774" t="s">
        <v>132</v>
      </c>
      <c r="F8" s="771"/>
      <c r="G8" s="771"/>
      <c r="H8" s="771" t="s">
        <v>133</v>
      </c>
      <c r="I8" s="771"/>
      <c r="J8" s="771"/>
      <c r="K8" s="771" t="s">
        <v>134</v>
      </c>
      <c r="L8" s="771"/>
      <c r="M8" s="771" t="s">
        <v>135</v>
      </c>
      <c r="N8" s="771"/>
      <c r="O8" s="771"/>
      <c r="P8" s="771" t="s">
        <v>136</v>
      </c>
      <c r="Q8" s="771" t="s">
        <v>137</v>
      </c>
      <c r="R8" s="771" t="s">
        <v>138</v>
      </c>
      <c r="S8" s="790" t="s">
        <v>139</v>
      </c>
      <c r="T8" s="771"/>
      <c r="U8" s="800" t="s">
        <v>315</v>
      </c>
    </row>
    <row r="9" spans="1:21" s="218" customFormat="1" ht="44.25" customHeight="1">
      <c r="A9" s="780"/>
      <c r="B9" s="781"/>
      <c r="C9" s="771"/>
      <c r="D9" s="809"/>
      <c r="E9" s="219" t="s">
        <v>140</v>
      </c>
      <c r="F9" s="215" t="s">
        <v>141</v>
      </c>
      <c r="G9" s="215" t="s">
        <v>316</v>
      </c>
      <c r="H9" s="215" t="s">
        <v>142</v>
      </c>
      <c r="I9" s="215" t="s">
        <v>143</v>
      </c>
      <c r="J9" s="215" t="s">
        <v>144</v>
      </c>
      <c r="K9" s="215" t="s">
        <v>141</v>
      </c>
      <c r="L9" s="215" t="s">
        <v>145</v>
      </c>
      <c r="M9" s="215" t="s">
        <v>146</v>
      </c>
      <c r="N9" s="215" t="s">
        <v>147</v>
      </c>
      <c r="O9" s="215" t="s">
        <v>317</v>
      </c>
      <c r="P9" s="771"/>
      <c r="Q9" s="771"/>
      <c r="R9" s="771"/>
      <c r="S9" s="790"/>
      <c r="T9" s="771"/>
      <c r="U9" s="801"/>
    </row>
    <row r="10" spans="1:21" s="222" customFormat="1" ht="15.75" customHeight="1">
      <c r="A10" s="804" t="s">
        <v>6</v>
      </c>
      <c r="B10" s="80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801"/>
    </row>
    <row r="11" spans="1:21" s="222" customFormat="1" ht="15.75" customHeight="1">
      <c r="A11" s="772" t="s">
        <v>295</v>
      </c>
      <c r="B11" s="77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802"/>
    </row>
    <row r="12" spans="1:21" s="222" customFormat="1" ht="15.75" customHeight="1">
      <c r="A12" s="791" t="s">
        <v>296</v>
      </c>
      <c r="B12" s="79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97" t="s">
        <v>30</v>
      </c>
      <c r="B13" s="79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265</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297</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268</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269</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270</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271</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276</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278</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279</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280</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282</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806" t="s">
        <v>283</v>
      </c>
      <c r="C28" s="806"/>
      <c r="D28" s="806"/>
      <c r="E28" s="806"/>
      <c r="F28" s="181"/>
      <c r="G28" s="181"/>
      <c r="H28" s="181"/>
      <c r="I28" s="181"/>
      <c r="J28" s="181"/>
      <c r="K28" s="181" t="s">
        <v>148</v>
      </c>
      <c r="L28" s="182"/>
      <c r="M28" s="811" t="s">
        <v>318</v>
      </c>
      <c r="N28" s="811"/>
      <c r="O28" s="811"/>
      <c r="P28" s="811"/>
      <c r="Q28" s="811"/>
      <c r="R28" s="811"/>
      <c r="S28" s="811"/>
      <c r="T28" s="811"/>
    </row>
    <row r="29" spans="1:20" s="233" customFormat="1" ht="18.75" customHeight="1">
      <c r="A29" s="232"/>
      <c r="B29" s="796" t="s">
        <v>149</v>
      </c>
      <c r="C29" s="796"/>
      <c r="D29" s="796"/>
      <c r="E29" s="234"/>
      <c r="F29" s="183"/>
      <c r="G29" s="183"/>
      <c r="H29" s="183"/>
      <c r="I29" s="183"/>
      <c r="J29" s="183"/>
      <c r="K29" s="183"/>
      <c r="L29" s="182"/>
      <c r="M29" s="799" t="s">
        <v>307</v>
      </c>
      <c r="N29" s="799"/>
      <c r="O29" s="799"/>
      <c r="P29" s="799"/>
      <c r="Q29" s="799"/>
      <c r="R29" s="799"/>
      <c r="S29" s="799"/>
      <c r="T29" s="799"/>
    </row>
    <row r="30" spans="1:20" s="233" customFormat="1" ht="18.75">
      <c r="A30" s="184"/>
      <c r="B30" s="793"/>
      <c r="C30" s="793"/>
      <c r="D30" s="793"/>
      <c r="E30" s="186"/>
      <c r="F30" s="186"/>
      <c r="G30" s="186"/>
      <c r="H30" s="186"/>
      <c r="I30" s="186"/>
      <c r="J30" s="186"/>
      <c r="K30" s="186"/>
      <c r="L30" s="186"/>
      <c r="M30" s="794"/>
      <c r="N30" s="794"/>
      <c r="O30" s="794"/>
      <c r="P30" s="794"/>
      <c r="Q30" s="794"/>
      <c r="R30" s="794"/>
      <c r="S30" s="794"/>
      <c r="T30" s="79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151</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152</v>
      </c>
      <c r="C34" s="186"/>
      <c r="D34" s="186"/>
      <c r="E34" s="186"/>
      <c r="F34" s="186"/>
      <c r="G34" s="186"/>
      <c r="H34" s="186"/>
      <c r="I34" s="186"/>
      <c r="J34" s="186"/>
      <c r="K34" s="186"/>
      <c r="L34" s="186"/>
      <c r="M34" s="186"/>
      <c r="N34" s="186"/>
      <c r="O34" s="186"/>
      <c r="P34" s="186"/>
      <c r="Q34" s="186"/>
      <c r="R34" s="186"/>
      <c r="S34" s="186"/>
      <c r="T34" s="186"/>
    </row>
    <row r="35" spans="2:20" ht="18.75" hidden="1">
      <c r="B35" s="236" t="s">
        <v>153</v>
      </c>
      <c r="C35" s="186"/>
      <c r="D35" s="186"/>
      <c r="E35" s="186"/>
      <c r="F35" s="186"/>
      <c r="G35" s="186"/>
      <c r="H35" s="186"/>
      <c r="I35" s="186"/>
      <c r="J35" s="186"/>
      <c r="K35" s="186"/>
      <c r="L35" s="186"/>
      <c r="M35" s="186"/>
      <c r="N35" s="186"/>
      <c r="O35" s="186"/>
      <c r="P35" s="186"/>
      <c r="Q35" s="186"/>
      <c r="R35" s="186"/>
      <c r="S35" s="186"/>
      <c r="T35" s="186"/>
    </row>
    <row r="36" spans="2:20" s="211" customFormat="1" ht="18.75">
      <c r="B36" s="795" t="s">
        <v>287</v>
      </c>
      <c r="C36" s="795"/>
      <c r="D36" s="795"/>
      <c r="E36" s="236"/>
      <c r="F36" s="236"/>
      <c r="G36" s="236"/>
      <c r="H36" s="236"/>
      <c r="I36" s="236"/>
      <c r="J36" s="236"/>
      <c r="K36" s="236"/>
      <c r="L36" s="236"/>
      <c r="M36" s="236"/>
      <c r="N36" s="795" t="s">
        <v>287</v>
      </c>
      <c r="O36" s="795"/>
      <c r="P36" s="795"/>
      <c r="Q36" s="795"/>
      <c r="R36" s="795"/>
      <c r="S36" s="79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91" t="s">
        <v>240</v>
      </c>
      <c r="C38" s="691"/>
      <c r="D38" s="691"/>
      <c r="E38" s="210"/>
      <c r="F38" s="210"/>
      <c r="G38" s="210"/>
      <c r="H38" s="210"/>
      <c r="I38" s="182"/>
      <c r="J38" s="182"/>
      <c r="K38" s="182"/>
      <c r="L38" s="182"/>
      <c r="M38" s="692" t="s">
        <v>241</v>
      </c>
      <c r="N38" s="692"/>
      <c r="O38" s="692"/>
      <c r="P38" s="692"/>
      <c r="Q38" s="692"/>
      <c r="R38" s="692"/>
      <c r="S38" s="692"/>
      <c r="T38" s="69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30" t="s">
        <v>154</v>
      </c>
      <c r="B1" s="830"/>
      <c r="C1" s="830"/>
      <c r="D1" s="238"/>
      <c r="E1" s="819" t="s">
        <v>155</v>
      </c>
      <c r="F1" s="819"/>
      <c r="G1" s="819"/>
      <c r="H1" s="819"/>
      <c r="I1" s="819"/>
      <c r="J1" s="819"/>
      <c r="K1" s="819"/>
      <c r="L1" s="819"/>
      <c r="M1" s="819"/>
      <c r="N1" s="819"/>
      <c r="O1" s="191"/>
      <c r="P1" s="816" t="s">
        <v>357</v>
      </c>
      <c r="Q1" s="816"/>
      <c r="R1" s="816"/>
      <c r="S1" s="816"/>
      <c r="T1" s="816"/>
    </row>
    <row r="2" spans="1:20" ht="15.75" customHeight="1">
      <c r="A2" s="831" t="s">
        <v>319</v>
      </c>
      <c r="B2" s="831"/>
      <c r="C2" s="831"/>
      <c r="D2" s="831"/>
      <c r="E2" s="833" t="s">
        <v>156</v>
      </c>
      <c r="F2" s="833"/>
      <c r="G2" s="833"/>
      <c r="H2" s="833"/>
      <c r="I2" s="833"/>
      <c r="J2" s="833"/>
      <c r="K2" s="833"/>
      <c r="L2" s="833"/>
      <c r="M2" s="833"/>
      <c r="N2" s="833"/>
      <c r="O2" s="194"/>
      <c r="P2" s="817" t="s">
        <v>299</v>
      </c>
      <c r="Q2" s="817"/>
      <c r="R2" s="817"/>
      <c r="S2" s="817"/>
      <c r="T2" s="817"/>
    </row>
    <row r="3" spans="1:20" ht="17.25">
      <c r="A3" s="831" t="s">
        <v>250</v>
      </c>
      <c r="B3" s="831"/>
      <c r="C3" s="831"/>
      <c r="D3" s="239"/>
      <c r="E3" s="820" t="s">
        <v>251</v>
      </c>
      <c r="F3" s="820"/>
      <c r="G3" s="820"/>
      <c r="H3" s="820"/>
      <c r="I3" s="820"/>
      <c r="J3" s="820"/>
      <c r="K3" s="820"/>
      <c r="L3" s="820"/>
      <c r="M3" s="820"/>
      <c r="N3" s="820"/>
      <c r="O3" s="194"/>
      <c r="P3" s="818" t="s">
        <v>358</v>
      </c>
      <c r="Q3" s="818"/>
      <c r="R3" s="818"/>
      <c r="S3" s="818"/>
      <c r="T3" s="818"/>
    </row>
    <row r="4" spans="1:20" ht="18.75" customHeight="1">
      <c r="A4" s="832" t="s">
        <v>252</v>
      </c>
      <c r="B4" s="832"/>
      <c r="C4" s="832"/>
      <c r="D4" s="834"/>
      <c r="E4" s="834"/>
      <c r="F4" s="834"/>
      <c r="G4" s="834"/>
      <c r="H4" s="834"/>
      <c r="I4" s="834"/>
      <c r="J4" s="834"/>
      <c r="K4" s="834"/>
      <c r="L4" s="834"/>
      <c r="M4" s="834"/>
      <c r="N4" s="834"/>
      <c r="O4" s="195"/>
      <c r="P4" s="817" t="s">
        <v>291</v>
      </c>
      <c r="Q4" s="818"/>
      <c r="R4" s="818"/>
      <c r="S4" s="818"/>
      <c r="T4" s="818"/>
    </row>
    <row r="5" spans="1:23" ht="15">
      <c r="A5" s="208"/>
      <c r="B5" s="208"/>
      <c r="C5" s="240"/>
      <c r="D5" s="240"/>
      <c r="E5" s="208"/>
      <c r="F5" s="208"/>
      <c r="G5" s="208"/>
      <c r="H5" s="208"/>
      <c r="I5" s="208"/>
      <c r="J5" s="208"/>
      <c r="K5" s="208"/>
      <c r="L5" s="208"/>
      <c r="P5" s="838" t="s">
        <v>314</v>
      </c>
      <c r="Q5" s="838"/>
      <c r="R5" s="838"/>
      <c r="S5" s="838"/>
      <c r="T5" s="838"/>
      <c r="U5" s="241"/>
      <c r="V5" s="241"/>
      <c r="W5" s="241"/>
    </row>
    <row r="6" spans="1:23" ht="29.25" customHeight="1">
      <c r="A6" s="776" t="s">
        <v>55</v>
      </c>
      <c r="B6" s="850"/>
      <c r="C6" s="845" t="s">
        <v>2</v>
      </c>
      <c r="D6" s="839" t="s">
        <v>157</v>
      </c>
      <c r="E6" s="840"/>
      <c r="F6" s="840"/>
      <c r="G6" s="840"/>
      <c r="H6" s="840"/>
      <c r="I6" s="840"/>
      <c r="J6" s="841"/>
      <c r="K6" s="821" t="s">
        <v>158</v>
      </c>
      <c r="L6" s="822"/>
      <c r="M6" s="822"/>
      <c r="N6" s="822"/>
      <c r="O6" s="822"/>
      <c r="P6" s="822"/>
      <c r="Q6" s="822"/>
      <c r="R6" s="822"/>
      <c r="S6" s="822"/>
      <c r="T6" s="823"/>
      <c r="U6" s="242"/>
      <c r="V6" s="243"/>
      <c r="W6" s="243"/>
    </row>
    <row r="7" spans="1:20" ht="19.5" customHeight="1">
      <c r="A7" s="778"/>
      <c r="B7" s="851"/>
      <c r="C7" s="846"/>
      <c r="D7" s="840" t="s">
        <v>7</v>
      </c>
      <c r="E7" s="840"/>
      <c r="F7" s="840"/>
      <c r="G7" s="840"/>
      <c r="H7" s="840"/>
      <c r="I7" s="840"/>
      <c r="J7" s="841"/>
      <c r="K7" s="824"/>
      <c r="L7" s="825"/>
      <c r="M7" s="825"/>
      <c r="N7" s="825"/>
      <c r="O7" s="825"/>
      <c r="P7" s="825"/>
      <c r="Q7" s="825"/>
      <c r="R7" s="825"/>
      <c r="S7" s="825"/>
      <c r="T7" s="826"/>
    </row>
    <row r="8" spans="1:20" ht="33" customHeight="1">
      <c r="A8" s="778"/>
      <c r="B8" s="851"/>
      <c r="C8" s="846"/>
      <c r="D8" s="837" t="s">
        <v>159</v>
      </c>
      <c r="E8" s="815"/>
      <c r="F8" s="812" t="s">
        <v>160</v>
      </c>
      <c r="G8" s="815"/>
      <c r="H8" s="812" t="s">
        <v>161</v>
      </c>
      <c r="I8" s="815"/>
      <c r="J8" s="812" t="s">
        <v>162</v>
      </c>
      <c r="K8" s="814" t="s">
        <v>163</v>
      </c>
      <c r="L8" s="814"/>
      <c r="M8" s="814"/>
      <c r="N8" s="814" t="s">
        <v>164</v>
      </c>
      <c r="O8" s="814"/>
      <c r="P8" s="814"/>
      <c r="Q8" s="812" t="s">
        <v>165</v>
      </c>
      <c r="R8" s="813" t="s">
        <v>166</v>
      </c>
      <c r="S8" s="813" t="s">
        <v>167</v>
      </c>
      <c r="T8" s="812" t="s">
        <v>168</v>
      </c>
    </row>
    <row r="9" spans="1:20" ht="18.75" customHeight="1">
      <c r="A9" s="778"/>
      <c r="B9" s="851"/>
      <c r="C9" s="846"/>
      <c r="D9" s="837" t="s">
        <v>169</v>
      </c>
      <c r="E9" s="812" t="s">
        <v>170</v>
      </c>
      <c r="F9" s="812" t="s">
        <v>169</v>
      </c>
      <c r="G9" s="812" t="s">
        <v>170</v>
      </c>
      <c r="H9" s="812" t="s">
        <v>169</v>
      </c>
      <c r="I9" s="812" t="s">
        <v>171</v>
      </c>
      <c r="J9" s="812"/>
      <c r="K9" s="814"/>
      <c r="L9" s="814"/>
      <c r="M9" s="814"/>
      <c r="N9" s="814"/>
      <c r="O9" s="814"/>
      <c r="P9" s="814"/>
      <c r="Q9" s="812"/>
      <c r="R9" s="813"/>
      <c r="S9" s="813"/>
      <c r="T9" s="812"/>
    </row>
    <row r="10" spans="1:20" ht="23.25" customHeight="1">
      <c r="A10" s="780"/>
      <c r="B10" s="852"/>
      <c r="C10" s="847"/>
      <c r="D10" s="837"/>
      <c r="E10" s="812"/>
      <c r="F10" s="812"/>
      <c r="G10" s="812"/>
      <c r="H10" s="812"/>
      <c r="I10" s="812"/>
      <c r="J10" s="812"/>
      <c r="K10" s="244" t="s">
        <v>172</v>
      </c>
      <c r="L10" s="244" t="s">
        <v>147</v>
      </c>
      <c r="M10" s="244" t="s">
        <v>173</v>
      </c>
      <c r="N10" s="244" t="s">
        <v>172</v>
      </c>
      <c r="O10" s="244" t="s">
        <v>174</v>
      </c>
      <c r="P10" s="244" t="s">
        <v>175</v>
      </c>
      <c r="Q10" s="812"/>
      <c r="R10" s="813"/>
      <c r="S10" s="813"/>
      <c r="T10" s="812"/>
    </row>
    <row r="11" spans="1:32" s="201" customFormat="1" ht="17.25" customHeight="1">
      <c r="A11" s="848" t="s">
        <v>6</v>
      </c>
      <c r="B11" s="84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27" t="s">
        <v>320</v>
      </c>
      <c r="B12" s="82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53" t="s">
        <v>296</v>
      </c>
      <c r="B13" s="85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836" t="s">
        <v>176</v>
      </c>
      <c r="B14" s="83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265</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297</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268</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269</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270</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271</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276</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278</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279</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280</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282</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284</v>
      </c>
      <c r="AI28" s="190">
        <f>82/88</f>
        <v>0.9318181818181818</v>
      </c>
    </row>
    <row r="29" spans="1:20" ht="15.75" customHeight="1">
      <c r="A29" s="202"/>
      <c r="B29" s="843" t="s">
        <v>308</v>
      </c>
      <c r="C29" s="843"/>
      <c r="D29" s="843"/>
      <c r="E29" s="843"/>
      <c r="F29" s="258"/>
      <c r="G29" s="258"/>
      <c r="H29" s="258"/>
      <c r="I29" s="258"/>
      <c r="J29" s="258"/>
      <c r="K29" s="258"/>
      <c r="L29" s="206"/>
      <c r="M29" s="842" t="s">
        <v>321</v>
      </c>
      <c r="N29" s="842"/>
      <c r="O29" s="842"/>
      <c r="P29" s="842"/>
      <c r="Q29" s="842"/>
      <c r="R29" s="842"/>
      <c r="S29" s="842"/>
      <c r="T29" s="842"/>
    </row>
    <row r="30" spans="1:20" ht="18.75" customHeight="1">
      <c r="A30" s="202"/>
      <c r="B30" s="844" t="s">
        <v>149</v>
      </c>
      <c r="C30" s="844"/>
      <c r="D30" s="844"/>
      <c r="E30" s="844"/>
      <c r="F30" s="205"/>
      <c r="G30" s="205"/>
      <c r="H30" s="205"/>
      <c r="I30" s="205"/>
      <c r="J30" s="205"/>
      <c r="K30" s="205"/>
      <c r="L30" s="206"/>
      <c r="M30" s="829" t="s">
        <v>150</v>
      </c>
      <c r="N30" s="829"/>
      <c r="O30" s="829"/>
      <c r="P30" s="829"/>
      <c r="Q30" s="829"/>
      <c r="R30" s="829"/>
      <c r="S30" s="829"/>
      <c r="T30" s="829"/>
    </row>
    <row r="31" spans="1:20" ht="18.75">
      <c r="A31" s="208"/>
      <c r="B31" s="793"/>
      <c r="C31" s="793"/>
      <c r="D31" s="793"/>
      <c r="E31" s="793"/>
      <c r="F31" s="209"/>
      <c r="G31" s="209"/>
      <c r="H31" s="209"/>
      <c r="I31" s="209"/>
      <c r="J31" s="209"/>
      <c r="K31" s="209"/>
      <c r="L31" s="209"/>
      <c r="M31" s="794"/>
      <c r="N31" s="794"/>
      <c r="O31" s="794"/>
      <c r="P31" s="794"/>
      <c r="Q31" s="794"/>
      <c r="R31" s="794"/>
      <c r="S31" s="794"/>
      <c r="T31" s="79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35" t="s">
        <v>287</v>
      </c>
      <c r="C33" s="835"/>
      <c r="D33" s="835"/>
      <c r="E33" s="835"/>
      <c r="F33" s="835"/>
      <c r="G33" s="259"/>
      <c r="H33" s="259"/>
      <c r="I33" s="259"/>
      <c r="J33" s="259"/>
      <c r="K33" s="259"/>
      <c r="L33" s="259"/>
      <c r="M33" s="259"/>
      <c r="N33" s="835" t="s">
        <v>287</v>
      </c>
      <c r="O33" s="835"/>
      <c r="P33" s="835"/>
      <c r="Q33" s="835"/>
      <c r="R33" s="835"/>
      <c r="S33" s="83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91" t="s">
        <v>240</v>
      </c>
      <c r="C35" s="691"/>
      <c r="D35" s="691"/>
      <c r="E35" s="691"/>
      <c r="F35" s="210"/>
      <c r="G35" s="210"/>
      <c r="H35" s="210"/>
      <c r="I35" s="182"/>
      <c r="J35" s="182"/>
      <c r="K35" s="182"/>
      <c r="L35" s="182"/>
      <c r="M35" s="692" t="s">
        <v>241</v>
      </c>
      <c r="N35" s="692"/>
      <c r="O35" s="692"/>
      <c r="P35" s="692"/>
      <c r="Q35" s="692"/>
      <c r="R35" s="692"/>
      <c r="S35" s="692"/>
      <c r="T35" s="69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125</v>
      </c>
    </row>
    <row r="39" spans="2:8" s="262" customFormat="1" ht="15" hidden="1">
      <c r="B39" s="263" t="s">
        <v>177</v>
      </c>
      <c r="C39" s="263"/>
      <c r="D39" s="263"/>
      <c r="E39" s="263"/>
      <c r="F39" s="263"/>
      <c r="G39" s="263"/>
      <c r="H39" s="263"/>
    </row>
    <row r="40" spans="2:8" s="264" customFormat="1" ht="15" hidden="1">
      <c r="B40" s="263" t="s">
        <v>178</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A13:B13"/>
    <mergeCell ref="D8:E8"/>
    <mergeCell ref="D9:D10"/>
    <mergeCell ref="D7:J7"/>
    <mergeCell ref="F8:G8"/>
    <mergeCell ref="B33:F33"/>
    <mergeCell ref="N33:S33"/>
    <mergeCell ref="A14:B14"/>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T8:T10"/>
    <mergeCell ref="S8:S10"/>
    <mergeCell ref="K8:M9"/>
    <mergeCell ref="J8:J10"/>
    <mergeCell ref="H9:H10"/>
    <mergeCell ref="G9:G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61" t="s">
        <v>179</v>
      </c>
      <c r="B1" s="861"/>
      <c r="C1" s="861"/>
      <c r="D1" s="864" t="s">
        <v>360</v>
      </c>
      <c r="E1" s="864"/>
      <c r="F1" s="864"/>
      <c r="G1" s="864"/>
      <c r="H1" s="864"/>
      <c r="I1" s="864"/>
      <c r="J1" s="865" t="s">
        <v>361</v>
      </c>
      <c r="K1" s="866"/>
      <c r="L1" s="866"/>
    </row>
    <row r="2" spans="1:12" ht="34.5" customHeight="1">
      <c r="A2" s="867" t="s">
        <v>322</v>
      </c>
      <c r="B2" s="867"/>
      <c r="C2" s="867"/>
      <c r="D2" s="864"/>
      <c r="E2" s="864"/>
      <c r="F2" s="864"/>
      <c r="G2" s="864"/>
      <c r="H2" s="864"/>
      <c r="I2" s="864"/>
      <c r="J2" s="868" t="s">
        <v>362</v>
      </c>
      <c r="K2" s="869"/>
      <c r="L2" s="869"/>
    </row>
    <row r="3" spans="1:12" ht="15" customHeight="1">
      <c r="A3" s="265" t="s">
        <v>252</v>
      </c>
      <c r="B3" s="174"/>
      <c r="C3" s="870"/>
      <c r="D3" s="870"/>
      <c r="E3" s="870"/>
      <c r="F3" s="870"/>
      <c r="G3" s="870"/>
      <c r="H3" s="870"/>
      <c r="I3" s="870"/>
      <c r="J3" s="862"/>
      <c r="K3" s="863"/>
      <c r="L3" s="863"/>
    </row>
    <row r="4" spans="1:12" ht="15.75" customHeight="1">
      <c r="A4" s="266"/>
      <c r="B4" s="266"/>
      <c r="C4" s="267"/>
      <c r="D4" s="267"/>
      <c r="E4" s="170"/>
      <c r="F4" s="170"/>
      <c r="G4" s="170"/>
      <c r="H4" s="268"/>
      <c r="I4" s="268"/>
      <c r="J4" s="871" t="s">
        <v>180</v>
      </c>
      <c r="K4" s="871"/>
      <c r="L4" s="871"/>
    </row>
    <row r="5" spans="1:12" s="269" customFormat="1" ht="28.5" customHeight="1">
      <c r="A5" s="856" t="s">
        <v>55</v>
      </c>
      <c r="B5" s="856"/>
      <c r="C5" s="771" t="s">
        <v>31</v>
      </c>
      <c r="D5" s="771" t="s">
        <v>181</v>
      </c>
      <c r="E5" s="771"/>
      <c r="F5" s="771"/>
      <c r="G5" s="771"/>
      <c r="H5" s="771" t="s">
        <v>182</v>
      </c>
      <c r="I5" s="771"/>
      <c r="J5" s="771" t="s">
        <v>183</v>
      </c>
      <c r="K5" s="771"/>
      <c r="L5" s="771"/>
    </row>
    <row r="6" spans="1:13" s="269" customFormat="1" ht="80.25" customHeight="1">
      <c r="A6" s="856"/>
      <c r="B6" s="856"/>
      <c r="C6" s="771"/>
      <c r="D6" s="215" t="s">
        <v>184</v>
      </c>
      <c r="E6" s="215" t="s">
        <v>185</v>
      </c>
      <c r="F6" s="215" t="s">
        <v>323</v>
      </c>
      <c r="G6" s="215" t="s">
        <v>186</v>
      </c>
      <c r="H6" s="215" t="s">
        <v>187</v>
      </c>
      <c r="I6" s="215" t="s">
        <v>188</v>
      </c>
      <c r="J6" s="215" t="s">
        <v>189</v>
      </c>
      <c r="K6" s="215" t="s">
        <v>190</v>
      </c>
      <c r="L6" s="215" t="s">
        <v>191</v>
      </c>
      <c r="M6" s="270"/>
    </row>
    <row r="7" spans="1:12" s="271" customFormat="1" ht="16.5" customHeight="1">
      <c r="A7" s="872" t="s">
        <v>6</v>
      </c>
      <c r="B7" s="872"/>
      <c r="C7" s="221">
        <v>1</v>
      </c>
      <c r="D7" s="221">
        <v>2</v>
      </c>
      <c r="E7" s="221">
        <v>3</v>
      </c>
      <c r="F7" s="221">
        <v>4</v>
      </c>
      <c r="G7" s="221">
        <v>5</v>
      </c>
      <c r="H7" s="221">
        <v>6</v>
      </c>
      <c r="I7" s="221">
        <v>7</v>
      </c>
      <c r="J7" s="221">
        <v>8</v>
      </c>
      <c r="K7" s="221">
        <v>9</v>
      </c>
      <c r="L7" s="221">
        <v>10</v>
      </c>
    </row>
    <row r="8" spans="1:12" s="271" customFormat="1" ht="16.5" customHeight="1">
      <c r="A8" s="859" t="s">
        <v>320</v>
      </c>
      <c r="B8" s="860"/>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57" t="s">
        <v>296</v>
      </c>
      <c r="B9" s="858"/>
      <c r="C9" s="224">
        <v>9</v>
      </c>
      <c r="D9" s="224">
        <v>2</v>
      </c>
      <c r="E9" s="224">
        <v>2</v>
      </c>
      <c r="F9" s="224">
        <v>0</v>
      </c>
      <c r="G9" s="224">
        <v>5</v>
      </c>
      <c r="H9" s="224">
        <v>8</v>
      </c>
      <c r="I9" s="224">
        <v>0</v>
      </c>
      <c r="J9" s="224">
        <v>8</v>
      </c>
      <c r="K9" s="224">
        <v>1</v>
      </c>
      <c r="L9" s="224">
        <v>0</v>
      </c>
    </row>
    <row r="10" spans="1:12" s="271" customFormat="1" ht="16.5" customHeight="1">
      <c r="A10" s="873" t="s">
        <v>176</v>
      </c>
      <c r="B10" s="87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192</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265</v>
      </c>
      <c r="C13" s="272">
        <f aca="true" t="shared" si="3" ref="C13:C23">D13+E13+F13+G13</f>
        <v>0</v>
      </c>
      <c r="D13" s="231">
        <v>0</v>
      </c>
      <c r="E13" s="231">
        <v>0</v>
      </c>
      <c r="F13" s="231">
        <v>0</v>
      </c>
      <c r="G13" s="231">
        <v>0</v>
      </c>
      <c r="H13" s="231">
        <v>0</v>
      </c>
      <c r="I13" s="231">
        <v>0</v>
      </c>
      <c r="J13" s="273">
        <v>0</v>
      </c>
      <c r="K13" s="273">
        <v>0</v>
      </c>
      <c r="L13" s="273">
        <v>0</v>
      </c>
      <c r="AF13" s="271" t="s">
        <v>264</v>
      </c>
    </row>
    <row r="14" spans="1:37" s="271" customFormat="1" ht="16.5" customHeight="1">
      <c r="A14" s="274">
        <v>2</v>
      </c>
      <c r="B14" s="68" t="s">
        <v>297</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268</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269</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324</v>
      </c>
      <c r="C17" s="272">
        <f t="shared" si="3"/>
        <v>1</v>
      </c>
      <c r="D17" s="231">
        <v>0</v>
      </c>
      <c r="E17" s="231">
        <v>0</v>
      </c>
      <c r="F17" s="231">
        <v>0</v>
      </c>
      <c r="G17" s="231">
        <v>1</v>
      </c>
      <c r="H17" s="231">
        <v>1</v>
      </c>
      <c r="I17" s="231">
        <v>0</v>
      </c>
      <c r="J17" s="273">
        <v>1</v>
      </c>
      <c r="K17" s="273">
        <v>0</v>
      </c>
      <c r="L17" s="273">
        <v>0</v>
      </c>
      <c r="AF17" s="199" t="s">
        <v>267</v>
      </c>
    </row>
    <row r="18" spans="1:12" s="271" customFormat="1" ht="16.5" customHeight="1">
      <c r="A18" s="274">
        <v>6</v>
      </c>
      <c r="B18" s="68" t="s">
        <v>271</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276</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278</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279</v>
      </c>
      <c r="C21" s="272">
        <f t="shared" si="3"/>
        <v>0</v>
      </c>
      <c r="D21" s="231">
        <v>0</v>
      </c>
      <c r="E21" s="231">
        <v>0</v>
      </c>
      <c r="F21" s="231">
        <v>0</v>
      </c>
      <c r="G21" s="231">
        <v>0</v>
      </c>
      <c r="H21" s="231">
        <v>0</v>
      </c>
      <c r="I21" s="231">
        <v>0</v>
      </c>
      <c r="J21" s="273">
        <v>0</v>
      </c>
      <c r="K21" s="273">
        <v>0</v>
      </c>
      <c r="L21" s="273">
        <v>0</v>
      </c>
      <c r="AJ21" s="271" t="s">
        <v>272</v>
      </c>
      <c r="AK21" s="271" t="s">
        <v>273</v>
      </c>
      <c r="AL21" s="271" t="s">
        <v>274</v>
      </c>
      <c r="AM21" s="199" t="s">
        <v>275</v>
      </c>
    </row>
    <row r="22" spans="1:39" s="271" customFormat="1" ht="16.5" customHeight="1">
      <c r="A22" s="274">
        <v>10</v>
      </c>
      <c r="B22" s="68" t="s">
        <v>280</v>
      </c>
      <c r="C22" s="272">
        <f t="shared" si="3"/>
        <v>1</v>
      </c>
      <c r="D22" s="231">
        <v>0</v>
      </c>
      <c r="E22" s="231">
        <v>1</v>
      </c>
      <c r="F22" s="231">
        <v>0</v>
      </c>
      <c r="G22" s="231">
        <v>0</v>
      </c>
      <c r="H22" s="231">
        <v>1</v>
      </c>
      <c r="I22" s="231">
        <v>0</v>
      </c>
      <c r="J22" s="273">
        <v>1</v>
      </c>
      <c r="K22" s="273">
        <v>0</v>
      </c>
      <c r="L22" s="273">
        <v>0</v>
      </c>
      <c r="AM22" s="199" t="s">
        <v>277</v>
      </c>
    </row>
    <row r="23" spans="1:12" s="271" customFormat="1" ht="16.5" customHeight="1">
      <c r="A23" s="274">
        <v>11</v>
      </c>
      <c r="B23" s="68" t="s">
        <v>282</v>
      </c>
      <c r="C23" s="272">
        <f t="shared" si="3"/>
        <v>0</v>
      </c>
      <c r="D23" s="231">
        <v>0</v>
      </c>
      <c r="E23" s="231">
        <v>0</v>
      </c>
      <c r="F23" s="231">
        <v>0</v>
      </c>
      <c r="G23" s="231">
        <v>0</v>
      </c>
      <c r="H23" s="231">
        <v>0</v>
      </c>
      <c r="I23" s="231">
        <v>0</v>
      </c>
      <c r="J23" s="273">
        <v>0</v>
      </c>
      <c r="K23" s="273">
        <v>0</v>
      </c>
      <c r="L23" s="273">
        <v>0</v>
      </c>
    </row>
    <row r="24" ht="9" customHeight="1">
      <c r="AJ24" s="233" t="s">
        <v>272</v>
      </c>
    </row>
    <row r="25" spans="1:36" ht="15.75" customHeight="1">
      <c r="A25" s="806" t="s">
        <v>325</v>
      </c>
      <c r="B25" s="806"/>
      <c r="C25" s="806"/>
      <c r="D25" s="806"/>
      <c r="E25" s="182"/>
      <c r="F25" s="811" t="s">
        <v>283</v>
      </c>
      <c r="G25" s="811"/>
      <c r="H25" s="811"/>
      <c r="I25" s="811"/>
      <c r="J25" s="811"/>
      <c r="K25" s="811"/>
      <c r="L25" s="811"/>
      <c r="AJ25" s="190" t="s">
        <v>281</v>
      </c>
    </row>
    <row r="26" spans="1:44" ht="15" customHeight="1">
      <c r="A26" s="796" t="s">
        <v>149</v>
      </c>
      <c r="B26" s="796"/>
      <c r="C26" s="796"/>
      <c r="D26" s="796"/>
      <c r="E26" s="183"/>
      <c r="F26" s="799" t="s">
        <v>150</v>
      </c>
      <c r="G26" s="799"/>
      <c r="H26" s="799"/>
      <c r="I26" s="799"/>
      <c r="J26" s="799"/>
      <c r="K26" s="799"/>
      <c r="L26" s="799"/>
      <c r="AR26" s="190"/>
    </row>
    <row r="27" spans="1:12" s="170" customFormat="1" ht="18.75">
      <c r="A27" s="793"/>
      <c r="B27" s="793"/>
      <c r="C27" s="793"/>
      <c r="D27" s="793"/>
      <c r="E27" s="182"/>
      <c r="F27" s="794"/>
      <c r="G27" s="794"/>
      <c r="H27" s="794"/>
      <c r="I27" s="794"/>
      <c r="J27" s="794"/>
      <c r="K27" s="794"/>
      <c r="L27" s="794"/>
    </row>
    <row r="28" spans="1:35" ht="18">
      <c r="A28" s="187"/>
      <c r="B28" s="187"/>
      <c r="C28" s="182"/>
      <c r="D28" s="182"/>
      <c r="E28" s="182"/>
      <c r="F28" s="182"/>
      <c r="G28" s="182"/>
      <c r="H28" s="182"/>
      <c r="I28" s="182"/>
      <c r="J28" s="182"/>
      <c r="K28" s="182"/>
      <c r="L28" s="182"/>
      <c r="AG28" s="233" t="s">
        <v>284</v>
      </c>
      <c r="AI28" s="190">
        <f>82/88</f>
        <v>0.9318181818181818</v>
      </c>
    </row>
    <row r="29" spans="1:12" ht="18">
      <c r="A29" s="187"/>
      <c r="B29" s="855" t="s">
        <v>287</v>
      </c>
      <c r="C29" s="855"/>
      <c r="D29" s="182"/>
      <c r="E29" s="182"/>
      <c r="F29" s="182"/>
      <c r="G29" s="182"/>
      <c r="H29" s="855" t="s">
        <v>287</v>
      </c>
      <c r="I29" s="855"/>
      <c r="J29" s="855"/>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193</v>
      </c>
      <c r="B32" s="185"/>
      <c r="C32" s="186"/>
      <c r="D32" s="186"/>
      <c r="E32" s="186"/>
      <c r="F32" s="186"/>
      <c r="G32" s="186"/>
      <c r="H32" s="186"/>
      <c r="I32" s="186"/>
      <c r="J32" s="186"/>
      <c r="K32" s="186"/>
      <c r="L32" s="186"/>
    </row>
    <row r="33" spans="1:12" s="211" customFormat="1" ht="18.75" hidden="1">
      <c r="A33" s="237"/>
      <c r="B33" s="279" t="s">
        <v>194</v>
      </c>
      <c r="C33" s="279"/>
      <c r="D33" s="279"/>
      <c r="E33" s="236"/>
      <c r="F33" s="236"/>
      <c r="G33" s="236"/>
      <c r="H33" s="236"/>
      <c r="I33" s="236"/>
      <c r="J33" s="236"/>
      <c r="K33" s="236"/>
      <c r="L33" s="236"/>
    </row>
    <row r="34" spans="1:12" s="211" customFormat="1" ht="18.75" hidden="1">
      <c r="A34" s="237"/>
      <c r="B34" s="279" t="s">
        <v>195</v>
      </c>
      <c r="C34" s="279"/>
      <c r="D34" s="279"/>
      <c r="E34" s="279"/>
      <c r="F34" s="236"/>
      <c r="G34" s="236"/>
      <c r="H34" s="236"/>
      <c r="I34" s="236"/>
      <c r="J34" s="236"/>
      <c r="K34" s="236"/>
      <c r="L34" s="236"/>
    </row>
    <row r="35" spans="1:12" s="211" customFormat="1" ht="18.75" hidden="1">
      <c r="A35" s="237"/>
      <c r="B35" s="236" t="s">
        <v>196</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91" t="s">
        <v>240</v>
      </c>
      <c r="B37" s="691"/>
      <c r="C37" s="691"/>
      <c r="D37" s="691"/>
      <c r="E37" s="210"/>
      <c r="F37" s="692" t="s">
        <v>241</v>
      </c>
      <c r="G37" s="692"/>
      <c r="H37" s="692"/>
      <c r="I37" s="692"/>
      <c r="J37" s="692"/>
      <c r="K37" s="692"/>
      <c r="L37" s="692"/>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74" t="s">
        <v>197</v>
      </c>
      <c r="B1" s="874"/>
      <c r="C1" s="874"/>
      <c r="D1" s="864" t="s">
        <v>363</v>
      </c>
      <c r="E1" s="864"/>
      <c r="F1" s="864"/>
      <c r="G1" s="864"/>
      <c r="H1" s="864"/>
      <c r="I1" s="170"/>
      <c r="J1" s="171" t="s">
        <v>357</v>
      </c>
      <c r="K1" s="280"/>
      <c r="L1" s="280"/>
    </row>
    <row r="2" spans="1:12" ht="15.75" customHeight="1">
      <c r="A2" s="878" t="s">
        <v>298</v>
      </c>
      <c r="B2" s="878"/>
      <c r="C2" s="878"/>
      <c r="D2" s="864"/>
      <c r="E2" s="864"/>
      <c r="F2" s="864"/>
      <c r="G2" s="864"/>
      <c r="H2" s="864"/>
      <c r="I2" s="170"/>
      <c r="J2" s="281" t="s">
        <v>299</v>
      </c>
      <c r="K2" s="281"/>
      <c r="L2" s="281"/>
    </row>
    <row r="3" spans="1:12" ht="18.75" customHeight="1">
      <c r="A3" s="784" t="s">
        <v>250</v>
      </c>
      <c r="B3" s="784"/>
      <c r="C3" s="784"/>
      <c r="D3" s="167"/>
      <c r="E3" s="167"/>
      <c r="F3" s="167"/>
      <c r="G3" s="167"/>
      <c r="H3" s="167"/>
      <c r="I3" s="170"/>
      <c r="J3" s="174" t="s">
        <v>356</v>
      </c>
      <c r="K3" s="174"/>
      <c r="L3" s="174"/>
    </row>
    <row r="4" spans="1:12" ht="15.75" customHeight="1">
      <c r="A4" s="875" t="s">
        <v>326</v>
      </c>
      <c r="B4" s="875"/>
      <c r="C4" s="875"/>
      <c r="D4" s="890"/>
      <c r="E4" s="890"/>
      <c r="F4" s="890"/>
      <c r="G4" s="890"/>
      <c r="H4" s="890"/>
      <c r="I4" s="170"/>
      <c r="J4" s="282" t="s">
        <v>291</v>
      </c>
      <c r="K4" s="282"/>
      <c r="L4" s="282"/>
    </row>
    <row r="5" spans="1:12" ht="15.75">
      <c r="A5" s="879"/>
      <c r="B5" s="879"/>
      <c r="C5" s="166"/>
      <c r="D5" s="170"/>
      <c r="E5" s="170"/>
      <c r="F5" s="170"/>
      <c r="G5" s="170"/>
      <c r="H5" s="283"/>
      <c r="I5" s="891" t="s">
        <v>327</v>
      </c>
      <c r="J5" s="891"/>
      <c r="K5" s="891"/>
      <c r="L5" s="891"/>
    </row>
    <row r="6" spans="1:12" ht="18.75" customHeight="1">
      <c r="A6" s="776" t="s">
        <v>55</v>
      </c>
      <c r="B6" s="777"/>
      <c r="C6" s="886" t="s">
        <v>198</v>
      </c>
      <c r="D6" s="797" t="s">
        <v>199</v>
      </c>
      <c r="E6" s="889"/>
      <c r="F6" s="798"/>
      <c r="G6" s="797" t="s">
        <v>200</v>
      </c>
      <c r="H6" s="889"/>
      <c r="I6" s="889"/>
      <c r="J6" s="889"/>
      <c r="K6" s="889"/>
      <c r="L6" s="798"/>
    </row>
    <row r="7" spans="1:12" ht="15.75" customHeight="1">
      <c r="A7" s="778"/>
      <c r="B7" s="779"/>
      <c r="C7" s="888"/>
      <c r="D7" s="797" t="s">
        <v>7</v>
      </c>
      <c r="E7" s="889"/>
      <c r="F7" s="798"/>
      <c r="G7" s="886" t="s">
        <v>30</v>
      </c>
      <c r="H7" s="797" t="s">
        <v>7</v>
      </c>
      <c r="I7" s="889"/>
      <c r="J7" s="889"/>
      <c r="K7" s="889"/>
      <c r="L7" s="798"/>
    </row>
    <row r="8" spans="1:12" ht="14.25" customHeight="1">
      <c r="A8" s="778"/>
      <c r="B8" s="779"/>
      <c r="C8" s="888"/>
      <c r="D8" s="886" t="s">
        <v>201</v>
      </c>
      <c r="E8" s="886" t="s">
        <v>202</v>
      </c>
      <c r="F8" s="886" t="s">
        <v>203</v>
      </c>
      <c r="G8" s="888"/>
      <c r="H8" s="886" t="s">
        <v>204</v>
      </c>
      <c r="I8" s="886" t="s">
        <v>205</v>
      </c>
      <c r="J8" s="886" t="s">
        <v>206</v>
      </c>
      <c r="K8" s="886" t="s">
        <v>207</v>
      </c>
      <c r="L8" s="886" t="s">
        <v>208</v>
      </c>
    </row>
    <row r="9" spans="1:12" ht="77.25" customHeight="1">
      <c r="A9" s="780"/>
      <c r="B9" s="781"/>
      <c r="C9" s="887"/>
      <c r="D9" s="887"/>
      <c r="E9" s="887"/>
      <c r="F9" s="887"/>
      <c r="G9" s="887"/>
      <c r="H9" s="887"/>
      <c r="I9" s="887"/>
      <c r="J9" s="887"/>
      <c r="K9" s="887"/>
      <c r="L9" s="887"/>
    </row>
    <row r="10" spans="1:12" s="271" customFormat="1" ht="16.5" customHeight="1">
      <c r="A10" s="880" t="s">
        <v>6</v>
      </c>
      <c r="B10" s="881"/>
      <c r="C10" s="220">
        <v>1</v>
      </c>
      <c r="D10" s="220">
        <v>2</v>
      </c>
      <c r="E10" s="220">
        <v>3</v>
      </c>
      <c r="F10" s="220">
        <v>4</v>
      </c>
      <c r="G10" s="220">
        <v>5</v>
      </c>
      <c r="H10" s="220">
        <v>6</v>
      </c>
      <c r="I10" s="220">
        <v>7</v>
      </c>
      <c r="J10" s="220">
        <v>8</v>
      </c>
      <c r="K10" s="221" t="s">
        <v>61</v>
      </c>
      <c r="L10" s="221" t="s">
        <v>81</v>
      </c>
    </row>
    <row r="11" spans="1:12" s="271" customFormat="1" ht="16.5" customHeight="1">
      <c r="A11" s="884" t="s">
        <v>295</v>
      </c>
      <c r="B11" s="88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82" t="s">
        <v>296</v>
      </c>
      <c r="B12" s="883"/>
      <c r="C12" s="224">
        <v>12</v>
      </c>
      <c r="D12" s="224">
        <v>0</v>
      </c>
      <c r="E12" s="224">
        <v>1</v>
      </c>
      <c r="F12" s="224">
        <v>11</v>
      </c>
      <c r="G12" s="224">
        <v>10</v>
      </c>
      <c r="H12" s="224">
        <v>0</v>
      </c>
      <c r="I12" s="224">
        <v>0</v>
      </c>
      <c r="J12" s="224">
        <v>0</v>
      </c>
      <c r="K12" s="224">
        <v>6</v>
      </c>
      <c r="L12" s="224">
        <v>4</v>
      </c>
    </row>
    <row r="13" spans="1:32" s="271" customFormat="1" ht="16.5" customHeight="1">
      <c r="A13" s="876" t="s">
        <v>30</v>
      </c>
      <c r="B13" s="87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264</v>
      </c>
    </row>
    <row r="14" spans="1:37" s="271" customFormat="1" ht="16.5" customHeight="1">
      <c r="A14" s="274" t="s">
        <v>0</v>
      </c>
      <c r="B14" s="198" t="s">
        <v>127</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265</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266</v>
      </c>
      <c r="C17" s="226">
        <f t="shared" si="2"/>
        <v>1</v>
      </c>
      <c r="D17" s="231">
        <v>0</v>
      </c>
      <c r="E17" s="231">
        <v>0</v>
      </c>
      <c r="F17" s="231">
        <v>1</v>
      </c>
      <c r="G17" s="226">
        <f t="shared" si="1"/>
        <v>1</v>
      </c>
      <c r="H17" s="231">
        <v>0</v>
      </c>
      <c r="I17" s="231">
        <v>0</v>
      </c>
      <c r="J17" s="273">
        <v>0</v>
      </c>
      <c r="K17" s="273">
        <v>0</v>
      </c>
      <c r="L17" s="273">
        <v>1</v>
      </c>
      <c r="M17" s="285"/>
      <c r="AF17" s="199" t="s">
        <v>267</v>
      </c>
    </row>
    <row r="18" spans="1:14" s="271" customFormat="1" ht="15.75" customHeight="1">
      <c r="A18" s="200">
        <v>3</v>
      </c>
      <c r="B18" s="68" t="s">
        <v>268</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269</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270</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271</v>
      </c>
      <c r="C21" s="226">
        <f t="shared" si="2"/>
        <v>0</v>
      </c>
      <c r="D21" s="231">
        <v>0</v>
      </c>
      <c r="E21" s="231">
        <v>0</v>
      </c>
      <c r="F21" s="231">
        <v>0</v>
      </c>
      <c r="G21" s="226">
        <f t="shared" si="1"/>
        <v>0</v>
      </c>
      <c r="H21" s="231">
        <v>0</v>
      </c>
      <c r="I21" s="231">
        <v>0</v>
      </c>
      <c r="J21" s="273">
        <v>0</v>
      </c>
      <c r="K21" s="273">
        <v>0</v>
      </c>
      <c r="L21" s="273">
        <v>0</v>
      </c>
      <c r="M21" s="285"/>
      <c r="AJ21" s="271" t="s">
        <v>272</v>
      </c>
      <c r="AK21" s="271" t="s">
        <v>273</v>
      </c>
      <c r="AL21" s="271" t="s">
        <v>274</v>
      </c>
      <c r="AM21" s="199" t="s">
        <v>275</v>
      </c>
    </row>
    <row r="22" spans="1:39" s="271" customFormat="1" ht="15.75" customHeight="1">
      <c r="A22" s="200">
        <v>7</v>
      </c>
      <c r="B22" s="68" t="s">
        <v>276</v>
      </c>
      <c r="C22" s="226">
        <f t="shared" si="2"/>
        <v>0</v>
      </c>
      <c r="D22" s="231">
        <v>0</v>
      </c>
      <c r="E22" s="231">
        <v>0</v>
      </c>
      <c r="F22" s="231">
        <v>0</v>
      </c>
      <c r="G22" s="226">
        <f t="shared" si="1"/>
        <v>0</v>
      </c>
      <c r="H22" s="231">
        <v>0</v>
      </c>
      <c r="I22" s="231">
        <v>0</v>
      </c>
      <c r="J22" s="273">
        <v>0</v>
      </c>
      <c r="K22" s="273">
        <v>0</v>
      </c>
      <c r="L22" s="273">
        <v>0</v>
      </c>
      <c r="M22" s="285"/>
      <c r="N22" s="178"/>
      <c r="AM22" s="199" t="s">
        <v>277</v>
      </c>
    </row>
    <row r="23" spans="1:13" s="271" customFormat="1" ht="15.75" customHeight="1">
      <c r="A23" s="200">
        <v>8</v>
      </c>
      <c r="B23" s="68" t="s">
        <v>278</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279</v>
      </c>
      <c r="C24" s="226">
        <f t="shared" si="2"/>
        <v>0</v>
      </c>
      <c r="D24" s="231">
        <v>0</v>
      </c>
      <c r="E24" s="231">
        <v>0</v>
      </c>
      <c r="F24" s="231">
        <v>0</v>
      </c>
      <c r="G24" s="226">
        <f t="shared" si="1"/>
        <v>0</v>
      </c>
      <c r="H24" s="231">
        <v>0</v>
      </c>
      <c r="I24" s="231">
        <v>0</v>
      </c>
      <c r="J24" s="273">
        <v>0</v>
      </c>
      <c r="K24" s="273">
        <v>0</v>
      </c>
      <c r="L24" s="273">
        <v>0</v>
      </c>
      <c r="M24" s="285"/>
      <c r="AJ24" s="271" t="s">
        <v>272</v>
      </c>
    </row>
    <row r="25" spans="1:36" s="271" customFormat="1" ht="15.75" customHeight="1">
      <c r="A25" s="200">
        <v>10</v>
      </c>
      <c r="B25" s="68" t="s">
        <v>280</v>
      </c>
      <c r="C25" s="226">
        <f t="shared" si="2"/>
        <v>1</v>
      </c>
      <c r="D25" s="231">
        <v>0</v>
      </c>
      <c r="E25" s="231">
        <v>0</v>
      </c>
      <c r="F25" s="231">
        <v>1</v>
      </c>
      <c r="G25" s="226">
        <f t="shared" si="1"/>
        <v>1</v>
      </c>
      <c r="H25" s="231">
        <v>0</v>
      </c>
      <c r="I25" s="231">
        <v>0</v>
      </c>
      <c r="J25" s="273">
        <v>0</v>
      </c>
      <c r="K25" s="273">
        <v>0</v>
      </c>
      <c r="L25" s="273">
        <v>1</v>
      </c>
      <c r="M25" s="285"/>
      <c r="AJ25" s="199" t="s">
        <v>281</v>
      </c>
    </row>
    <row r="26" spans="1:44" s="271" customFormat="1" ht="15.75" customHeight="1">
      <c r="A26" s="200">
        <v>11</v>
      </c>
      <c r="B26" s="68" t="s">
        <v>282</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806" t="s">
        <v>283</v>
      </c>
      <c r="B28" s="806"/>
      <c r="C28" s="806"/>
      <c r="D28" s="806"/>
      <c r="E28" s="806"/>
      <c r="F28" s="182"/>
      <c r="G28" s="181"/>
      <c r="H28" s="294" t="s">
        <v>328</v>
      </c>
      <c r="I28" s="295"/>
      <c r="J28" s="295"/>
      <c r="K28" s="295"/>
      <c r="L28" s="295"/>
      <c r="AG28" s="233" t="s">
        <v>284</v>
      </c>
      <c r="AI28" s="190">
        <f>82/88</f>
        <v>0.9318181818181818</v>
      </c>
    </row>
    <row r="29" spans="1:12" ht="15" customHeight="1">
      <c r="A29" s="796" t="s">
        <v>4</v>
      </c>
      <c r="B29" s="796"/>
      <c r="C29" s="796"/>
      <c r="D29" s="796"/>
      <c r="E29" s="796"/>
      <c r="F29" s="182"/>
      <c r="G29" s="183"/>
      <c r="H29" s="799" t="s">
        <v>150</v>
      </c>
      <c r="I29" s="799"/>
      <c r="J29" s="799"/>
      <c r="K29" s="799"/>
      <c r="L29" s="799"/>
    </row>
    <row r="30" spans="1:14" s="170" customFormat="1" ht="18.75">
      <c r="A30" s="793"/>
      <c r="B30" s="793"/>
      <c r="C30" s="793"/>
      <c r="D30" s="793"/>
      <c r="E30" s="793"/>
      <c r="F30" s="296"/>
      <c r="G30" s="182"/>
      <c r="H30" s="794"/>
      <c r="I30" s="794"/>
      <c r="J30" s="794"/>
      <c r="K30" s="794"/>
      <c r="L30" s="794"/>
      <c r="M30" s="297"/>
      <c r="N30" s="297"/>
    </row>
    <row r="31" spans="1:12" ht="18">
      <c r="A31" s="182"/>
      <c r="B31" s="182"/>
      <c r="C31" s="182"/>
      <c r="D31" s="182"/>
      <c r="E31" s="182"/>
      <c r="F31" s="182"/>
      <c r="G31" s="182"/>
      <c r="H31" s="182"/>
      <c r="I31" s="182"/>
      <c r="J31" s="182"/>
      <c r="K31" s="182"/>
      <c r="L31" s="298"/>
    </row>
    <row r="32" spans="1:12" ht="18">
      <c r="A32" s="182"/>
      <c r="B32" s="855" t="s">
        <v>287</v>
      </c>
      <c r="C32" s="855"/>
      <c r="D32" s="855"/>
      <c r="E32" s="855"/>
      <c r="F32" s="182"/>
      <c r="G32" s="182"/>
      <c r="H32" s="182"/>
      <c r="I32" s="855" t="s">
        <v>287</v>
      </c>
      <c r="J32" s="855"/>
      <c r="K32" s="855"/>
      <c r="L32" s="298"/>
    </row>
    <row r="33" spans="1:12" ht="10.5" customHeight="1">
      <c r="A33" s="182"/>
      <c r="B33" s="182"/>
      <c r="C33" s="299" t="s">
        <v>286</v>
      </c>
      <c r="D33" s="299"/>
      <c r="E33" s="299"/>
      <c r="F33" s="299"/>
      <c r="G33" s="299"/>
      <c r="H33" s="299"/>
      <c r="I33" s="299"/>
      <c r="J33" s="300" t="s">
        <v>286</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92" t="s">
        <v>209</v>
      </c>
      <c r="C40" s="892"/>
      <c r="D40" s="892"/>
      <c r="E40" s="892"/>
      <c r="F40" s="892"/>
      <c r="G40" s="303"/>
      <c r="H40" s="301"/>
      <c r="I40" s="301"/>
      <c r="J40" s="301"/>
      <c r="K40" s="301"/>
      <c r="L40" s="301"/>
      <c r="M40" s="265"/>
      <c r="N40" s="265"/>
      <c r="O40" s="265"/>
      <c r="P40" s="265"/>
    </row>
    <row r="41" spans="1:12" ht="12.75" customHeight="1" hidden="1">
      <c r="A41" s="182"/>
      <c r="B41" s="279" t="s">
        <v>210</v>
      </c>
      <c r="C41" s="304"/>
      <c r="D41" s="304"/>
      <c r="E41" s="304"/>
      <c r="F41" s="304"/>
      <c r="G41" s="182"/>
      <c r="H41" s="301"/>
      <c r="I41" s="301"/>
      <c r="J41" s="301"/>
      <c r="K41" s="301"/>
      <c r="L41" s="301"/>
    </row>
    <row r="42" spans="1:12" ht="12.75" customHeight="1" hidden="1">
      <c r="A42" s="182"/>
      <c r="B42" s="236" t="s">
        <v>211</v>
      </c>
      <c r="C42" s="304"/>
      <c r="D42" s="304"/>
      <c r="E42" s="304"/>
      <c r="F42" s="304"/>
      <c r="G42" s="182"/>
      <c r="H42" s="301"/>
      <c r="I42" s="301"/>
      <c r="J42" s="301"/>
      <c r="K42" s="301"/>
      <c r="L42" s="301"/>
    </row>
    <row r="43" spans="1:12" ht="18.75">
      <c r="A43" s="691" t="s">
        <v>329</v>
      </c>
      <c r="B43" s="691"/>
      <c r="C43" s="691"/>
      <c r="D43" s="691"/>
      <c r="E43" s="691"/>
      <c r="F43" s="182"/>
      <c r="G43" s="301"/>
      <c r="H43" s="692" t="s">
        <v>241</v>
      </c>
      <c r="I43" s="692"/>
      <c r="J43" s="692"/>
      <c r="K43" s="692"/>
      <c r="L43" s="692"/>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87" t="s">
        <v>212</v>
      </c>
      <c r="B1" s="787"/>
      <c r="C1" s="787"/>
      <c r="D1" s="787"/>
      <c r="E1" s="306"/>
      <c r="F1" s="782" t="s">
        <v>364</v>
      </c>
      <c r="G1" s="782"/>
      <c r="H1" s="782"/>
      <c r="I1" s="782"/>
      <c r="J1" s="782"/>
      <c r="K1" s="782"/>
      <c r="L1" s="782"/>
      <c r="M1" s="782"/>
      <c r="N1" s="782"/>
      <c r="O1" s="782"/>
      <c r="P1" s="307" t="s">
        <v>288</v>
      </c>
      <c r="Q1" s="308"/>
      <c r="R1" s="308"/>
      <c r="S1" s="308"/>
      <c r="T1" s="308"/>
    </row>
    <row r="2" spans="1:20" s="177" customFormat="1" ht="20.25" customHeight="1">
      <c r="A2" s="893" t="s">
        <v>298</v>
      </c>
      <c r="B2" s="893"/>
      <c r="C2" s="893"/>
      <c r="D2" s="893"/>
      <c r="E2" s="306"/>
      <c r="F2" s="782"/>
      <c r="G2" s="782"/>
      <c r="H2" s="782"/>
      <c r="I2" s="782"/>
      <c r="J2" s="782"/>
      <c r="K2" s="782"/>
      <c r="L2" s="782"/>
      <c r="M2" s="782"/>
      <c r="N2" s="782"/>
      <c r="O2" s="782"/>
      <c r="P2" s="308" t="s">
        <v>330</v>
      </c>
      <c r="Q2" s="308"/>
      <c r="R2" s="308"/>
      <c r="S2" s="308"/>
      <c r="T2" s="308"/>
    </row>
    <row r="3" spans="1:20" s="177" customFormat="1" ht="15" customHeight="1">
      <c r="A3" s="893" t="s">
        <v>250</v>
      </c>
      <c r="B3" s="893"/>
      <c r="C3" s="893"/>
      <c r="D3" s="893"/>
      <c r="E3" s="306"/>
      <c r="F3" s="782"/>
      <c r="G3" s="782"/>
      <c r="H3" s="782"/>
      <c r="I3" s="782"/>
      <c r="J3" s="782"/>
      <c r="K3" s="782"/>
      <c r="L3" s="782"/>
      <c r="M3" s="782"/>
      <c r="N3" s="782"/>
      <c r="O3" s="782"/>
      <c r="P3" s="307" t="s">
        <v>356</v>
      </c>
      <c r="Q3" s="307"/>
      <c r="R3" s="307"/>
      <c r="S3" s="309"/>
      <c r="T3" s="309"/>
    </row>
    <row r="4" spans="1:20" s="177" customFormat="1" ht="15.75" customHeight="1">
      <c r="A4" s="908" t="s">
        <v>331</v>
      </c>
      <c r="B4" s="908"/>
      <c r="C4" s="908"/>
      <c r="D4" s="908"/>
      <c r="E4" s="307"/>
      <c r="F4" s="782"/>
      <c r="G4" s="782"/>
      <c r="H4" s="782"/>
      <c r="I4" s="782"/>
      <c r="J4" s="782"/>
      <c r="K4" s="782"/>
      <c r="L4" s="782"/>
      <c r="M4" s="782"/>
      <c r="N4" s="782"/>
      <c r="O4" s="782"/>
      <c r="P4" s="308" t="s">
        <v>300</v>
      </c>
      <c r="Q4" s="307"/>
      <c r="R4" s="307"/>
      <c r="S4" s="309"/>
      <c r="T4" s="309"/>
    </row>
    <row r="5" spans="1:18" s="177" customFormat="1" ht="24" customHeight="1">
      <c r="A5" s="310"/>
      <c r="B5" s="310"/>
      <c r="C5" s="310"/>
      <c r="F5" s="907"/>
      <c r="G5" s="907"/>
      <c r="H5" s="907"/>
      <c r="I5" s="907"/>
      <c r="J5" s="907"/>
      <c r="K5" s="907"/>
      <c r="L5" s="907"/>
      <c r="M5" s="907"/>
      <c r="N5" s="907"/>
      <c r="O5" s="907"/>
      <c r="P5" s="311" t="s">
        <v>332</v>
      </c>
      <c r="Q5" s="312"/>
      <c r="R5" s="312"/>
    </row>
    <row r="6" spans="1:20" s="313" customFormat="1" ht="21.75" customHeight="1">
      <c r="A6" s="903" t="s">
        <v>55</v>
      </c>
      <c r="B6" s="904"/>
      <c r="C6" s="790" t="s">
        <v>31</v>
      </c>
      <c r="D6" s="774"/>
      <c r="E6" s="790" t="s">
        <v>7</v>
      </c>
      <c r="F6" s="894"/>
      <c r="G6" s="894"/>
      <c r="H6" s="894"/>
      <c r="I6" s="894"/>
      <c r="J6" s="894"/>
      <c r="K6" s="894"/>
      <c r="L6" s="894"/>
      <c r="M6" s="894"/>
      <c r="N6" s="894"/>
      <c r="O6" s="894"/>
      <c r="P6" s="894"/>
      <c r="Q6" s="894"/>
      <c r="R6" s="894"/>
      <c r="S6" s="894"/>
      <c r="T6" s="774"/>
    </row>
    <row r="7" spans="1:21" s="313" customFormat="1" ht="22.5" customHeight="1">
      <c r="A7" s="905"/>
      <c r="B7" s="906"/>
      <c r="C7" s="807" t="s">
        <v>333</v>
      </c>
      <c r="D7" s="807" t="s">
        <v>334</v>
      </c>
      <c r="E7" s="790" t="s">
        <v>213</v>
      </c>
      <c r="F7" s="910"/>
      <c r="G7" s="910"/>
      <c r="H7" s="910"/>
      <c r="I7" s="910"/>
      <c r="J7" s="910"/>
      <c r="K7" s="910"/>
      <c r="L7" s="911"/>
      <c r="M7" s="790" t="s">
        <v>335</v>
      </c>
      <c r="N7" s="894"/>
      <c r="O7" s="894"/>
      <c r="P7" s="894"/>
      <c r="Q7" s="894"/>
      <c r="R7" s="894"/>
      <c r="S7" s="894"/>
      <c r="T7" s="774"/>
      <c r="U7" s="314"/>
    </row>
    <row r="8" spans="1:20" s="313" customFormat="1" ht="42.75" customHeight="1">
      <c r="A8" s="905"/>
      <c r="B8" s="906"/>
      <c r="C8" s="808"/>
      <c r="D8" s="808"/>
      <c r="E8" s="771" t="s">
        <v>336</v>
      </c>
      <c r="F8" s="771"/>
      <c r="G8" s="790" t="s">
        <v>337</v>
      </c>
      <c r="H8" s="894"/>
      <c r="I8" s="894"/>
      <c r="J8" s="894"/>
      <c r="K8" s="894"/>
      <c r="L8" s="774"/>
      <c r="M8" s="771" t="s">
        <v>338</v>
      </c>
      <c r="N8" s="771"/>
      <c r="O8" s="790" t="s">
        <v>337</v>
      </c>
      <c r="P8" s="894"/>
      <c r="Q8" s="894"/>
      <c r="R8" s="894"/>
      <c r="S8" s="894"/>
      <c r="T8" s="774"/>
    </row>
    <row r="9" spans="1:20" s="313" customFormat="1" ht="35.25" customHeight="1">
      <c r="A9" s="905"/>
      <c r="B9" s="906"/>
      <c r="C9" s="808"/>
      <c r="D9" s="808"/>
      <c r="E9" s="807" t="s">
        <v>214</v>
      </c>
      <c r="F9" s="807" t="s">
        <v>215</v>
      </c>
      <c r="G9" s="895" t="s">
        <v>216</v>
      </c>
      <c r="H9" s="896"/>
      <c r="I9" s="895" t="s">
        <v>217</v>
      </c>
      <c r="J9" s="896"/>
      <c r="K9" s="895" t="s">
        <v>218</v>
      </c>
      <c r="L9" s="896"/>
      <c r="M9" s="807" t="s">
        <v>219</v>
      </c>
      <c r="N9" s="807" t="s">
        <v>215</v>
      </c>
      <c r="O9" s="895" t="s">
        <v>216</v>
      </c>
      <c r="P9" s="896"/>
      <c r="Q9" s="895" t="s">
        <v>220</v>
      </c>
      <c r="R9" s="896"/>
      <c r="S9" s="895" t="s">
        <v>221</v>
      </c>
      <c r="T9" s="896"/>
    </row>
    <row r="10" spans="1:20" s="313" customFormat="1" ht="25.5" customHeight="1">
      <c r="A10" s="895"/>
      <c r="B10" s="896"/>
      <c r="C10" s="809"/>
      <c r="D10" s="809"/>
      <c r="E10" s="809"/>
      <c r="F10" s="809"/>
      <c r="G10" s="215" t="s">
        <v>219</v>
      </c>
      <c r="H10" s="215" t="s">
        <v>215</v>
      </c>
      <c r="I10" s="219" t="s">
        <v>219</v>
      </c>
      <c r="J10" s="215" t="s">
        <v>215</v>
      </c>
      <c r="K10" s="219" t="s">
        <v>219</v>
      </c>
      <c r="L10" s="215" t="s">
        <v>215</v>
      </c>
      <c r="M10" s="809"/>
      <c r="N10" s="809"/>
      <c r="O10" s="215" t="s">
        <v>219</v>
      </c>
      <c r="P10" s="215" t="s">
        <v>215</v>
      </c>
      <c r="Q10" s="219" t="s">
        <v>219</v>
      </c>
      <c r="R10" s="215" t="s">
        <v>215</v>
      </c>
      <c r="S10" s="219" t="s">
        <v>219</v>
      </c>
      <c r="T10" s="215" t="s">
        <v>215</v>
      </c>
    </row>
    <row r="11" spans="1:32" s="222" customFormat="1" ht="12.75">
      <c r="A11" s="897" t="s">
        <v>6</v>
      </c>
      <c r="B11" s="898"/>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264</v>
      </c>
    </row>
    <row r="12" spans="1:20" s="222" customFormat="1" ht="20.25" customHeight="1">
      <c r="A12" s="899" t="s">
        <v>320</v>
      </c>
      <c r="B12" s="900"/>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901" t="s">
        <v>296</v>
      </c>
      <c r="B13" s="90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912" t="s">
        <v>30</v>
      </c>
      <c r="B14" s="913"/>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127</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265</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267</v>
      </c>
    </row>
    <row r="18" spans="1:20" s="178" customFormat="1" ht="15.75" customHeight="1">
      <c r="A18" s="200">
        <v>2</v>
      </c>
      <c r="B18" s="68" t="s">
        <v>297</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268</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269</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270</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272</v>
      </c>
      <c r="AK21" s="178" t="s">
        <v>273</v>
      </c>
      <c r="AL21" s="178" t="s">
        <v>274</v>
      </c>
      <c r="AM21" s="199" t="s">
        <v>275</v>
      </c>
    </row>
    <row r="22" spans="1:39" s="178" customFormat="1" ht="15.75" customHeight="1">
      <c r="A22" s="200">
        <v>6</v>
      </c>
      <c r="B22" s="68" t="s">
        <v>271</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277</v>
      </c>
    </row>
    <row r="23" spans="1:20" s="178" customFormat="1" ht="15.75" customHeight="1">
      <c r="A23" s="200">
        <v>7</v>
      </c>
      <c r="B23" s="68" t="s">
        <v>276</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278</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272</v>
      </c>
    </row>
    <row r="25" spans="1:36" s="178" customFormat="1" ht="15.75" customHeight="1">
      <c r="A25" s="200">
        <v>9</v>
      </c>
      <c r="B25" s="68" t="s">
        <v>279</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281</v>
      </c>
    </row>
    <row r="26" spans="1:44" s="178" customFormat="1" ht="15.75" customHeight="1">
      <c r="A26" s="200">
        <v>10</v>
      </c>
      <c r="B26" s="68" t="s">
        <v>280</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282</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284</v>
      </c>
      <c r="AI28" s="190">
        <f>82/88</f>
        <v>0.9318181818181818</v>
      </c>
    </row>
    <row r="29" spans="1:20" ht="15.75" customHeight="1">
      <c r="A29" s="180"/>
      <c r="B29" s="806" t="s">
        <v>283</v>
      </c>
      <c r="C29" s="806"/>
      <c r="D29" s="806"/>
      <c r="E29" s="806"/>
      <c r="F29" s="806"/>
      <c r="G29" s="806"/>
      <c r="H29" s="181"/>
      <c r="I29" s="181"/>
      <c r="J29" s="182"/>
      <c r="K29" s="181"/>
      <c r="L29" s="811" t="s">
        <v>283</v>
      </c>
      <c r="M29" s="811"/>
      <c r="N29" s="811"/>
      <c r="O29" s="811"/>
      <c r="P29" s="811"/>
      <c r="Q29" s="811"/>
      <c r="R29" s="811"/>
      <c r="S29" s="811"/>
      <c r="T29" s="811"/>
    </row>
    <row r="30" spans="1:20" ht="15" customHeight="1">
      <c r="A30" s="180"/>
      <c r="B30" s="796" t="s">
        <v>35</v>
      </c>
      <c r="C30" s="796"/>
      <c r="D30" s="796"/>
      <c r="E30" s="796"/>
      <c r="F30" s="796"/>
      <c r="G30" s="796"/>
      <c r="H30" s="183"/>
      <c r="I30" s="183"/>
      <c r="J30" s="183"/>
      <c r="K30" s="183"/>
      <c r="L30" s="799" t="s">
        <v>239</v>
      </c>
      <c r="M30" s="799"/>
      <c r="N30" s="799"/>
      <c r="O30" s="799"/>
      <c r="P30" s="799"/>
      <c r="Q30" s="799"/>
      <c r="R30" s="799"/>
      <c r="S30" s="799"/>
      <c r="T30" s="799"/>
    </row>
    <row r="31" spans="1:20" s="320" customFormat="1" ht="18.75">
      <c r="A31" s="318"/>
      <c r="B31" s="793"/>
      <c r="C31" s="793"/>
      <c r="D31" s="793"/>
      <c r="E31" s="793"/>
      <c r="F31" s="793"/>
      <c r="G31" s="319"/>
      <c r="H31" s="319"/>
      <c r="I31" s="319"/>
      <c r="J31" s="319"/>
      <c r="K31" s="319"/>
      <c r="L31" s="794"/>
      <c r="M31" s="794"/>
      <c r="N31" s="794"/>
      <c r="O31" s="794"/>
      <c r="P31" s="794"/>
      <c r="Q31" s="794"/>
      <c r="R31" s="794"/>
      <c r="S31" s="794"/>
      <c r="T31" s="79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909" t="s">
        <v>287</v>
      </c>
      <c r="C33" s="909"/>
      <c r="D33" s="909"/>
      <c r="E33" s="909"/>
      <c r="F33" s="909"/>
      <c r="G33" s="321"/>
      <c r="H33" s="321"/>
      <c r="I33" s="321"/>
      <c r="J33" s="321"/>
      <c r="K33" s="321"/>
      <c r="L33" s="321"/>
      <c r="M33" s="321"/>
      <c r="N33" s="321"/>
      <c r="O33" s="909" t="s">
        <v>287</v>
      </c>
      <c r="P33" s="909"/>
      <c r="Q33" s="909"/>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209</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210</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222</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91" t="s">
        <v>240</v>
      </c>
      <c r="C39" s="691"/>
      <c r="D39" s="691"/>
      <c r="E39" s="691"/>
      <c r="F39" s="691"/>
      <c r="G39" s="691"/>
      <c r="H39" s="182"/>
      <c r="I39" s="182"/>
      <c r="J39" s="182"/>
      <c r="K39" s="182"/>
      <c r="L39" s="692" t="s">
        <v>241</v>
      </c>
      <c r="M39" s="692"/>
      <c r="N39" s="692"/>
      <c r="O39" s="692"/>
      <c r="P39" s="692"/>
      <c r="Q39" s="692"/>
      <c r="R39" s="692"/>
      <c r="S39" s="692"/>
      <c r="T39" s="69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M7:T7"/>
    <mergeCell ref="O33:Q33"/>
    <mergeCell ref="F9:F10"/>
    <mergeCell ref="L31:T31"/>
    <mergeCell ref="A14:B14"/>
    <mergeCell ref="E9:E10"/>
    <mergeCell ref="B39:G39"/>
    <mergeCell ref="L29:T29"/>
    <mergeCell ref="L30:T30"/>
    <mergeCell ref="L39:T39"/>
    <mergeCell ref="B30:G30"/>
    <mergeCell ref="A4:D4"/>
    <mergeCell ref="B33:F33"/>
    <mergeCell ref="B29:G29"/>
    <mergeCell ref="O9:P9"/>
    <mergeCell ref="E8:F8"/>
    <mergeCell ref="F1:O4"/>
    <mergeCell ref="N9:N10"/>
    <mergeCell ref="A1:D1"/>
    <mergeCell ref="D7:D10"/>
    <mergeCell ref="E7:L7"/>
    <mergeCell ref="B31:F31"/>
    <mergeCell ref="A11:B11"/>
    <mergeCell ref="A12:B12"/>
    <mergeCell ref="A13:B13"/>
    <mergeCell ref="A6:B10"/>
    <mergeCell ref="F5:O5"/>
    <mergeCell ref="I9:J9"/>
    <mergeCell ref="G8:L8"/>
    <mergeCell ref="M9:M10"/>
    <mergeCell ref="C6:D6"/>
    <mergeCell ref="A2:D2"/>
    <mergeCell ref="E6:T6"/>
    <mergeCell ref="O8:T8"/>
    <mergeCell ref="Q9:R9"/>
    <mergeCell ref="G9:H9"/>
    <mergeCell ref="K9:L9"/>
    <mergeCell ref="A3:D3"/>
    <mergeCell ref="M8:N8"/>
    <mergeCell ref="C7:C10"/>
    <mergeCell ref="S9:T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2016-08-25T03:37:49Z</cp:lastPrinted>
  <dcterms:created xsi:type="dcterms:W3CDTF">2004-03-07T02:36:29Z</dcterms:created>
  <dcterms:modified xsi:type="dcterms:W3CDTF">2016-09-08T01:48:23Z</dcterms:modified>
  <cp:category/>
  <cp:version/>
  <cp:contentType/>
  <cp:contentStatus/>
</cp:coreProperties>
</file>